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60" yWindow="60" windowWidth="14145" windowHeight="8835"/>
  </bookViews>
  <sheets>
    <sheet name="Индексы по расценкам" sheetId="2" r:id="rId1"/>
    <sheet name="Индексы по разделам и смете" sheetId="3" r:id="rId2"/>
    <sheet name="Лист1" sheetId="4" r:id="rId3"/>
  </sheets>
  <definedNames>
    <definedName name="_xlnm._FilterDatabase" localSheetId="1" hidden="1">'Индексы по разделам и смете'!$A$12:$N$18</definedName>
    <definedName name="_xlnm._FilterDatabase" localSheetId="0" hidden="1">'Индексы по расценкам'!$M$1:$M$3116</definedName>
    <definedName name="Дата_изменения_группы_строек">#REF!</definedName>
    <definedName name="Дата_изменения_локальной_сметы">#REF!</definedName>
    <definedName name="Дата_изменения_объекта">#REF!</definedName>
    <definedName name="Дата_изменения_объектной_сметы">#REF!</definedName>
    <definedName name="Дата_изменения_очереди">#REF!</definedName>
    <definedName name="Дата_изменения_пускового_комплекса">#REF!</definedName>
    <definedName name="Дата_изменения_сводного_сметного_расчета">#REF!</definedName>
    <definedName name="Дата_изменения_стройки">#REF!</definedName>
    <definedName name="Дата_создания_группы_строек">#REF!</definedName>
    <definedName name="Дата_создания_локальной_сметы">#REF!</definedName>
    <definedName name="Дата_создания_объекта">#REF!</definedName>
    <definedName name="Дата_создания_объектной_сметы">#REF!</definedName>
    <definedName name="Дата_создания_очереди">#REF!</definedName>
    <definedName name="Дата_создания_пускового_комплекса">#REF!</definedName>
    <definedName name="Дата_создания_сводного_сметного_расчета">#REF!</definedName>
    <definedName name="Дата_создания_стройки">#REF!</definedName>
    <definedName name="Заказчик">#REF!</definedName>
    <definedName name="Инвестор">#REF!</definedName>
    <definedName name="Индекс_ЛН_группы_строек">#REF!</definedName>
    <definedName name="Индекс_ЛН_локальной_сметы">#REF!</definedName>
    <definedName name="Индекс_ЛН_объекта">#REF!</definedName>
    <definedName name="Индекс_ЛН_объектной_сметы">#REF!</definedName>
    <definedName name="Индекс_ЛН_очереди">#REF!</definedName>
    <definedName name="Индекс_ЛН_пускового_комплекса">#REF!</definedName>
    <definedName name="Индекс_ЛН_сводного_сметного_расчета">#REF!</definedName>
    <definedName name="Индекс_ЛН_стройки">#REF!</definedName>
    <definedName name="Итого_ЗПМ__по_рес_расчету_с_учетом_к_тов">#REF!</definedName>
    <definedName name="Итого_ЗПМ_в_базисных_ценах">#REF!</definedName>
    <definedName name="Итого_ЗПМ_в_базисных_ценах_с_учетом_к_тов">#REF!</definedName>
    <definedName name="Итого_ЗПМ_по_акту_вып_работ_в_базисных_ценах_с_учетом_к_тов">#REF!</definedName>
    <definedName name="Итого_ЗПМ_по_акту_вып_работ_при_ресурсном_расчете_с_учетом_к_тов">#REF!</definedName>
    <definedName name="Итого_ЗПМ_по_акту_выполненных_работ_в_базисных_ценах">#REF!</definedName>
    <definedName name="Итого_ЗПМ_по_акту_выполненных_работ_при_ресурсном_расчете">#REF!</definedName>
    <definedName name="Итого_ЗПМ_при_расчете_по_стоимости_ч_часа_работы_механизаторов">#REF!</definedName>
    <definedName name="Итого_МАТ_по_акту_вып_работ_в_базисных_ценах_с_учетом_к_тов">#REF!</definedName>
    <definedName name="Итого_МАТ_по_акту_вып_работ_при_ресурсном_расчете_с_учетом_к_тов">#REF!</definedName>
    <definedName name="Итого_материалы">#REF!</definedName>
    <definedName name="Итого_материалы__по_рес_расчету_с_учетом_к_тов">#REF!</definedName>
    <definedName name="Итого_материалы_в_базисных_ценах">#REF!</definedName>
    <definedName name="Итого_материалы_в_базисных_ценах_с_учетом_к_тов">#REF!</definedName>
    <definedName name="Итого_материалы_по_акту_выполненных_работ_в_базисных_ценах">#REF!</definedName>
    <definedName name="Итого_материалы_по_акту_выполненных_работ_при_ресурсном_расчете">#REF!</definedName>
    <definedName name="Итого_машины_и_механизмы">#REF!</definedName>
    <definedName name="Итого_машины_и_механизмы_в_базисных_ценах">#REF!</definedName>
    <definedName name="Итого_машины_и_механизмы_по_акту_выполненных_работ_в_базисных_ценах">#REF!</definedName>
    <definedName name="Итого_машины_и_механизмы_по_акту_выполненных_работ_при_ресурсном_расчете">#REF!</definedName>
    <definedName name="Итого_НР_в_базисных_ценах">#REF!</definedName>
    <definedName name="Итого_НР_по_акту_в_базисных_ценах">#REF!</definedName>
    <definedName name="Итого_НР_по_акту_по_ресурсному_расчету">#REF!</definedName>
    <definedName name="Итого_НР_по_ресурсному_расчету">#REF!</definedName>
    <definedName name="Итого_ОЗП">#REF!</definedName>
    <definedName name="Итого_ОЗП_в_базисных_ценах">#REF!</definedName>
    <definedName name="Итого_ОЗП_в_базисных_ценах_с_учетом_к_тов">#REF!</definedName>
    <definedName name="Итого_ОЗП_по_акту_вып_работ_в_базисных_ценах_с_учетом_к_тов">#REF!</definedName>
    <definedName name="Итого_ОЗП_по_акту_вып_работ_при_ресурсном_расчете_с_учетом_к_тов">#REF!</definedName>
    <definedName name="Итого_ОЗП_по_акту_выполненных_работ_в_базисных_ценах">#REF!</definedName>
    <definedName name="Итого_ОЗП_по_акту_выполненных_работ_при_ресурсном_расчете">#REF!</definedName>
    <definedName name="Итого_ОЗП_по_рес_расчету_с_учетом_к_тов">#REF!</definedName>
    <definedName name="Итого_ПЗ">#REF!</definedName>
    <definedName name="Итого_ПЗ_в_базисных_ценах">#REF!</definedName>
    <definedName name="Итого_ПЗ_в_базисных_ценах_с_учетом_к_тов">#REF!</definedName>
    <definedName name="Итого_ПЗ_по_акту_вып_работ_в_базисных_ценах_с_учетом_к_тов">#REF!</definedName>
    <definedName name="Итого_ПЗ_по_акту_вып_работ_при_ресурсном_расчете_с_учетом_к_тов">#REF!</definedName>
    <definedName name="Итого_ПЗ_по_акту_выполненных_работ_в_базисных_ценах">#REF!</definedName>
    <definedName name="Итого_ПЗ_по_акту_выполненных_работ_при_ресурсном_расчете">#REF!</definedName>
    <definedName name="Итого_ПЗ_по_рес_расчету_с_учетом_к_тов">#REF!</definedName>
    <definedName name="Итого_СП_в_базисных_ценах">#REF!</definedName>
    <definedName name="Итого_СП_по_акту_в_базисных_ценах">#REF!</definedName>
    <definedName name="Итого_СП_по_акту_по_ресурсному_расчету">#REF!</definedName>
    <definedName name="Итого_СП_по_ресурсному_расчету">#REF!</definedName>
    <definedName name="Итого_ФОТ_в_базисных_ценах">#REF!</definedName>
    <definedName name="Итого_ФОТ_по_акту_выполненных_работ_в_базисных_ценах">#REF!</definedName>
    <definedName name="Итого_ФОТ_по_акту_выполненных_работ_при_ресурсном_расчете">#REF!</definedName>
    <definedName name="Итого_ФОТ_при_расчете_по_доле_з_п_в_стоимости_эксплуатации_машин">#REF!</definedName>
    <definedName name="Итого_ЭММ__по_рес_расчету_с_учетом_к_тов">#REF!</definedName>
    <definedName name="Итого_ЭММ_в_базисных_ценах_с_учетом_к_тов">#REF!</definedName>
    <definedName name="Итого_ЭММ_по_акту_вып_работ_в_базисных_ценах_с_учетом_к_тов">#REF!</definedName>
    <definedName name="Итого_ЭММ_по_акту_вып_работ_при_ресурсном_расчете_с_учетом_к_тов">#REF!</definedName>
    <definedName name="к_ЗПМ">#REF!</definedName>
    <definedName name="к_МАТ">#REF!</definedName>
    <definedName name="к_ОЗП">#REF!</definedName>
    <definedName name="к_ПЗ">#REF!</definedName>
    <definedName name="к_ЭМ">#REF!</definedName>
    <definedName name="Максимальное_изменение_индекса">#REF!</definedName>
    <definedName name="Монтажные_работы_в_базисных_ценах">#REF!</definedName>
    <definedName name="Монтажные_работы_в_текущих_ценах">#REF!</definedName>
    <definedName name="Монтажные_работы_в_текущих_ценах_по_ресурсному_расчету">#REF!</definedName>
    <definedName name="Монтажные_работы_в_текущих_ценах_после_применения_индексов">#REF!</definedName>
    <definedName name="Наименование_группы_строек">#REF!</definedName>
    <definedName name="Наименование_локальной_сметы">#REF!</definedName>
    <definedName name="Наименование_объекта">#REF!</definedName>
    <definedName name="Наименование_объектной_сметы">#REF!</definedName>
    <definedName name="Наименование_очереди">#REF!</definedName>
    <definedName name="Наименование_пускового_комплекса">#REF!</definedName>
    <definedName name="Наименование_сводного_сметного_расчета">#REF!</definedName>
    <definedName name="Наименование_стройки">#REF!</definedName>
    <definedName name="Норм_трудоемкость_механизаторов_по_смете_с_учетом_к_тов">#REF!</definedName>
    <definedName name="Норм_трудоемкость_осн_рабочих_по_смете_с_учетом_к_тов">#REF!</definedName>
    <definedName name="Нормативная_трудоемкость_механизаторов_по_смете">#REF!</definedName>
    <definedName name="Нормативная_трудоемкость_основных_рабочих_по_смете">#REF!</definedName>
    <definedName name="Оборудование_в_базисных_ценах">#REF!</definedName>
    <definedName name="Оборудование_в_текущих_ценах">#REF!</definedName>
    <definedName name="Оборудование_в_текущих_ценах_по_ресурсному_расчету">#REF!</definedName>
    <definedName name="Оборудование_в_текущих_ценах_после_применения_индексов">#REF!</definedName>
    <definedName name="Обоснование_поправки">#REF!</definedName>
    <definedName name="Описание_группы_строек">#REF!</definedName>
    <definedName name="Описание_локальной_сметы">#REF!</definedName>
    <definedName name="Описание_объекта">#REF!</definedName>
    <definedName name="Описание_объектной_сметы">#REF!</definedName>
    <definedName name="Описание_очереди">#REF!</definedName>
    <definedName name="Описание_пускового_комплекса">#REF!</definedName>
    <definedName name="Описание_сводного_сметного_расчета">#REF!</definedName>
    <definedName name="Описание_стройки">#REF!</definedName>
    <definedName name="Основание">#REF!</definedName>
    <definedName name="Отчетный_период__учет_выполненных_работ">#REF!</definedName>
    <definedName name="Проверил">#REF!</definedName>
    <definedName name="прочерк">#REF!</definedName>
    <definedName name="Прочие_затраты_в_базисных_ценах">#REF!</definedName>
    <definedName name="Прочие_затраты_в_текущих_ценах">#REF!</definedName>
    <definedName name="Прочие_затраты_в_текущих_ценах_по_ресурсному_расчету">#REF!</definedName>
    <definedName name="Прочие_затраты_в_текущих_ценах_после_применения_индексов">#REF!</definedName>
    <definedName name="Районный_к_т_к_ЗП">#REF!</definedName>
    <definedName name="Районный_к_т_к_ЗП_по_ресурсному_расчету">#REF!</definedName>
    <definedName name="Регистрационный_номер_группы_строек">#REF!</definedName>
    <definedName name="Регистрационный_номер_локальной_сметы">#REF!</definedName>
    <definedName name="Регистрационный_номер_объекта">#REF!</definedName>
    <definedName name="Регистрационный_номер_объектной_сметы">#REF!</definedName>
    <definedName name="Регистрационный_номер_очереди">#REF!</definedName>
    <definedName name="Регистрационный_номер_пускового_комплекса">#REF!</definedName>
    <definedName name="Регистрационный_номер_сводного_сметного_расчета">#REF!</definedName>
    <definedName name="Регистрационный_номер_стройки">#REF!</definedName>
    <definedName name="Сметная_стоимость_в_базисных_ценах">#REF!</definedName>
    <definedName name="Сметная_стоимость_в_текущих_ценах__после_применения_индексов">#REF!</definedName>
    <definedName name="Сметная_стоимость_по_ресурсному_расчету">#REF!</definedName>
    <definedName name="Составил">#REF!</definedName>
    <definedName name="Стоимость_по_акту_выполненных_работ_в_базисных_ценах">#REF!</definedName>
    <definedName name="Стоимость_по_акту_выполненных_работ_при_ресурсном_расчете">#REF!</definedName>
    <definedName name="Строительные_работы_в_базисных_ценах">#REF!</definedName>
    <definedName name="Строительные_работы_в_текущих_ценах">#REF!</definedName>
    <definedName name="Строительные_работы_в_текущих_ценах_по_ресурсному_расчету">#REF!</definedName>
    <definedName name="Строительные_работы_в_текущих_ценах_после_применения_индексов">#REF!</definedName>
    <definedName name="Территориальная_поправка_к_ТЕР">#REF!</definedName>
    <definedName name="Труд_механизаторов_по_акту_вып_работ_с_учетом_к_тов">#REF!</definedName>
    <definedName name="Труд_основн_рабочих_по_акту_вып_работ_с_учетом_к_тов">#REF!</definedName>
    <definedName name="Трудоемкость_механизаторов_по_акту_выполненных_работ">#REF!</definedName>
    <definedName name="Трудоемкость_основных_рабочих_по_акту_выполненных_работ">#REF!</definedName>
    <definedName name="Укрупненный_норматив_НР_для_расчета_в_текущих_ценах_и_ценах_2001г.">#REF!</definedName>
    <definedName name="Укрупненный_норматив_НР_для_расчета_в_ценах_1984г.">#REF!</definedName>
    <definedName name="Укрупненный_норматив_СП_для_расчета_в_текущих_ценах_и_ценах_2001г.">#REF!</definedName>
    <definedName name="Укрупненный_норматив_СП_для_расчета_в_ценах_1984г.">#REF!</definedName>
  </definedNames>
  <calcPr calcId="125725"/>
</workbook>
</file>

<file path=xl/calcChain.xml><?xml version="1.0" encoding="utf-8"?>
<calcChain xmlns="http://schemas.openxmlformats.org/spreadsheetml/2006/main">
  <c r="O2759" i="2"/>
  <c r="N2759"/>
  <c r="L2759"/>
  <c r="I2759"/>
  <c r="O2758"/>
  <c r="N2758"/>
  <c r="L2758"/>
  <c r="I2758"/>
  <c r="O2757"/>
  <c r="N2757"/>
  <c r="L2757"/>
  <c r="I2757"/>
  <c r="O2755"/>
  <c r="N2755"/>
  <c r="L2755"/>
  <c r="I2755"/>
  <c r="O2753"/>
  <c r="N2753"/>
  <c r="L2753"/>
  <c r="I2753"/>
  <c r="O2752"/>
  <c r="N2752"/>
  <c r="L2752"/>
  <c r="I2752"/>
  <c r="O2751"/>
  <c r="N2751"/>
  <c r="L2751"/>
  <c r="I2751"/>
  <c r="O2750"/>
  <c r="N2750"/>
  <c r="L2750"/>
  <c r="I2750"/>
  <c r="O2749"/>
  <c r="N2749"/>
  <c r="L2749"/>
  <c r="I2749"/>
  <c r="O2748"/>
  <c r="N2748"/>
  <c r="L2748"/>
  <c r="I2748"/>
  <c r="O2747"/>
  <c r="N2747"/>
  <c r="L2747"/>
  <c r="I2747"/>
  <c r="O2745"/>
  <c r="N2745"/>
  <c r="L2745"/>
  <c r="I2745"/>
  <c r="O2743"/>
  <c r="N2743"/>
  <c r="L2743"/>
  <c r="I2743"/>
  <c r="O2742"/>
  <c r="N2742"/>
  <c r="L2742"/>
  <c r="I2742"/>
  <c r="O2741"/>
  <c r="N2741"/>
  <c r="L2741"/>
  <c r="I2741"/>
  <c r="O2740"/>
  <c r="N2740"/>
  <c r="L2740"/>
  <c r="I2740"/>
  <c r="O2739"/>
  <c r="N2739"/>
  <c r="L2739"/>
  <c r="I2739"/>
  <c r="O2738"/>
  <c r="N2738"/>
  <c r="L2738"/>
  <c r="I2738"/>
  <c r="O2736"/>
  <c r="N2736"/>
  <c r="L2736"/>
  <c r="I2736"/>
  <c r="O2735"/>
  <c r="N2735"/>
  <c r="L2735"/>
  <c r="I2735"/>
  <c r="O2734"/>
  <c r="N2734"/>
  <c r="L2734"/>
  <c r="I2734"/>
  <c r="O2733"/>
  <c r="N2733"/>
  <c r="L2733"/>
  <c r="I2733"/>
  <c r="O2732"/>
  <c r="N2732"/>
  <c r="L2732"/>
  <c r="I2732"/>
  <c r="O2731"/>
  <c r="N2731"/>
  <c r="L2731"/>
  <c r="I2731"/>
  <c r="O2729"/>
  <c r="N2729"/>
  <c r="L2729"/>
  <c r="I2729"/>
  <c r="O2728"/>
  <c r="N2728"/>
  <c r="L2728"/>
  <c r="I2728"/>
  <c r="O2726"/>
  <c r="N2726"/>
  <c r="L2726"/>
  <c r="I2726"/>
  <c r="O2725"/>
  <c r="N2725"/>
  <c r="L2725"/>
  <c r="I2725"/>
  <c r="O2724"/>
  <c r="N2724"/>
  <c r="L2724"/>
  <c r="I2724"/>
  <c r="O2723"/>
  <c r="N2723"/>
  <c r="L2723"/>
  <c r="I2723"/>
  <c r="O2722"/>
  <c r="N2722"/>
  <c r="L2722"/>
  <c r="I2722"/>
  <c r="O2721"/>
  <c r="N2721"/>
  <c r="L2721"/>
  <c r="I2721"/>
  <c r="O2719"/>
  <c r="N2719"/>
  <c r="L2719"/>
  <c r="I2719"/>
  <c r="O2718"/>
  <c r="N2718"/>
  <c r="L2718"/>
  <c r="I2718"/>
  <c r="O2717"/>
  <c r="N2717"/>
  <c r="L2717"/>
  <c r="I2717"/>
  <c r="O2716"/>
  <c r="N2716"/>
  <c r="L2716"/>
  <c r="I2716"/>
  <c r="O2715"/>
  <c r="N2715"/>
  <c r="L2715"/>
  <c r="I2715"/>
  <c r="O2714"/>
  <c r="N2714"/>
  <c r="L2714"/>
  <c r="I2714"/>
  <c r="O2712"/>
  <c r="N2712"/>
  <c r="L2712"/>
  <c r="I2712"/>
  <c r="O2711"/>
  <c r="N2711"/>
  <c r="L2711"/>
  <c r="I2711"/>
  <c r="O2710"/>
  <c r="N2710"/>
  <c r="L2710"/>
  <c r="I2710"/>
  <c r="O2709"/>
  <c r="N2709"/>
  <c r="L2709"/>
  <c r="I2709"/>
  <c r="O2708"/>
  <c r="N2708"/>
  <c r="L2708"/>
  <c r="I2708"/>
  <c r="O2707"/>
  <c r="N2707"/>
  <c r="L2707"/>
  <c r="I2707"/>
  <c r="O2706"/>
  <c r="N2706"/>
  <c r="L2706"/>
  <c r="I2706"/>
  <c r="O2705"/>
  <c r="N2705"/>
  <c r="L2705"/>
  <c r="I2705"/>
  <c r="O2704"/>
  <c r="N2704"/>
  <c r="L2704"/>
  <c r="I2704"/>
  <c r="O2703"/>
  <c r="N2703"/>
  <c r="L2703"/>
  <c r="I2703"/>
  <c r="O2701"/>
  <c r="N2701"/>
  <c r="L2701"/>
  <c r="I2701"/>
  <c r="O2700"/>
  <c r="N2700"/>
  <c r="L2700"/>
  <c r="I2700"/>
  <c r="O2699"/>
  <c r="N2699"/>
  <c r="L2699"/>
  <c r="I2699"/>
  <c r="O2698"/>
  <c r="N2698"/>
  <c r="L2698"/>
  <c r="I2698"/>
  <c r="O2697"/>
  <c r="N2697"/>
  <c r="L2697"/>
  <c r="I2697"/>
  <c r="O2695"/>
  <c r="N2695"/>
  <c r="L2695"/>
  <c r="I2695"/>
  <c r="O2694"/>
  <c r="N2694"/>
  <c r="L2694"/>
  <c r="I2694"/>
  <c r="O2693"/>
  <c r="N2693"/>
  <c r="L2693"/>
  <c r="I2693"/>
  <c r="O2692"/>
  <c r="N2692"/>
  <c r="L2692"/>
  <c r="I2692"/>
  <c r="O2691"/>
  <c r="N2691"/>
  <c r="L2691"/>
  <c r="I2691"/>
  <c r="O2690"/>
  <c r="N2690"/>
  <c r="L2690"/>
  <c r="I2690"/>
  <c r="O2689"/>
  <c r="N2689"/>
  <c r="L2689"/>
  <c r="I2689"/>
  <c r="O2688"/>
  <c r="N2688"/>
  <c r="L2688"/>
  <c r="I2688"/>
  <c r="O2687"/>
  <c r="N2687"/>
  <c r="L2687"/>
  <c r="I2687"/>
  <c r="O2686"/>
  <c r="N2686"/>
  <c r="L2686"/>
  <c r="I2686"/>
  <c r="O2685"/>
  <c r="N2685"/>
  <c r="L2685"/>
  <c r="I2685"/>
  <c r="O2684"/>
  <c r="N2684"/>
  <c r="L2684"/>
  <c r="I2684"/>
  <c r="O2683"/>
  <c r="N2683"/>
  <c r="L2683"/>
  <c r="I2683"/>
  <c r="O2681"/>
  <c r="N2681"/>
  <c r="L2681"/>
  <c r="I2681"/>
  <c r="O2679"/>
  <c r="N2679"/>
  <c r="L2679"/>
  <c r="I2679"/>
  <c r="O2678"/>
  <c r="N2678"/>
  <c r="L2678"/>
  <c r="I2678"/>
  <c r="O2677"/>
  <c r="N2677"/>
  <c r="L2677"/>
  <c r="I2677"/>
  <c r="O2676"/>
  <c r="N2676"/>
  <c r="L2676"/>
  <c r="I2676"/>
  <c r="O2675"/>
  <c r="N2675"/>
  <c r="L2675"/>
  <c r="I2675"/>
  <c r="O2674"/>
  <c r="N2674"/>
  <c r="L2674"/>
  <c r="I2674"/>
  <c r="O2673"/>
  <c r="N2673"/>
  <c r="L2673"/>
  <c r="I2673"/>
  <c r="O2671"/>
  <c r="N2671"/>
  <c r="L2671"/>
  <c r="I2671"/>
  <c r="O2670"/>
  <c r="N2670"/>
  <c r="L2670"/>
  <c r="I2670"/>
  <c r="O2669"/>
  <c r="N2669"/>
  <c r="L2669"/>
  <c r="I2669"/>
  <c r="O2667"/>
  <c r="N2667"/>
  <c r="L2667"/>
  <c r="I2667"/>
  <c r="O2666"/>
  <c r="N2666"/>
  <c r="L2666"/>
  <c r="I2666"/>
  <c r="O2665"/>
  <c r="N2665"/>
  <c r="L2665"/>
  <c r="I2665"/>
  <c r="O2664"/>
  <c r="N2664"/>
  <c r="L2664"/>
  <c r="I2664"/>
  <c r="O2663"/>
  <c r="N2663"/>
  <c r="L2663"/>
  <c r="I2663"/>
  <c r="O2660"/>
  <c r="N2660"/>
  <c r="L2660"/>
  <c r="I2660"/>
  <c r="O2659"/>
  <c r="N2659"/>
  <c r="L2659"/>
  <c r="I2659"/>
  <c r="O2658"/>
  <c r="N2658"/>
  <c r="L2658"/>
  <c r="I2658"/>
  <c r="O2657"/>
  <c r="N2657"/>
  <c r="L2657"/>
  <c r="I2657"/>
  <c r="O2656"/>
  <c r="N2656"/>
  <c r="L2656"/>
  <c r="I2656"/>
  <c r="O2655"/>
  <c r="N2655"/>
  <c r="L2655"/>
  <c r="I2655"/>
  <c r="O2653"/>
  <c r="N2653"/>
  <c r="L2653"/>
  <c r="I2653"/>
  <c r="O2652"/>
  <c r="N2652"/>
  <c r="L2652"/>
  <c r="I2652"/>
  <c r="O2651"/>
  <c r="N2651"/>
  <c r="L2651"/>
  <c r="I2651"/>
  <c r="O2648"/>
  <c r="N2648"/>
  <c r="L2648"/>
  <c r="I2648"/>
  <c r="O2647"/>
  <c r="N2647"/>
  <c r="L2647"/>
  <c r="I2647"/>
  <c r="O2646"/>
  <c r="N2646"/>
  <c r="L2646"/>
  <c r="I2646"/>
  <c r="O2645"/>
  <c r="N2645"/>
  <c r="L2645"/>
  <c r="I2645"/>
  <c r="O2644"/>
  <c r="N2644"/>
  <c r="L2644"/>
  <c r="I2644"/>
  <c r="O2643"/>
  <c r="N2643"/>
  <c r="L2643"/>
  <c r="I2643"/>
  <c r="O2641"/>
  <c r="N2641"/>
  <c r="L2641"/>
  <c r="I2641"/>
  <c r="O2640"/>
  <c r="N2640"/>
  <c r="L2640"/>
  <c r="I2640"/>
  <c r="O2639"/>
  <c r="N2639"/>
  <c r="L2639"/>
  <c r="I2639"/>
  <c r="O2638"/>
  <c r="N2638"/>
  <c r="L2638"/>
  <c r="I2638"/>
  <c r="O2637"/>
  <c r="N2637"/>
  <c r="L2637"/>
  <c r="I2637"/>
  <c r="O2636"/>
  <c r="N2636"/>
  <c r="L2636"/>
  <c r="I2636"/>
  <c r="O2632"/>
  <c r="N2632"/>
  <c r="L2632"/>
  <c r="I2632"/>
  <c r="O2631"/>
  <c r="N2631"/>
  <c r="L2631"/>
  <c r="I2631"/>
  <c r="O2630"/>
  <c r="N2630"/>
  <c r="L2630"/>
  <c r="I2630"/>
  <c r="O2629"/>
  <c r="N2629"/>
  <c r="L2629"/>
  <c r="I2629"/>
  <c r="O2628"/>
  <c r="N2628"/>
  <c r="L2628"/>
  <c r="I2628"/>
  <c r="O2627"/>
  <c r="N2627"/>
  <c r="L2627"/>
  <c r="I2627"/>
  <c r="O2626"/>
  <c r="N2626"/>
  <c r="L2626"/>
  <c r="I2626"/>
  <c r="O2625"/>
  <c r="N2625"/>
  <c r="L2625"/>
  <c r="I2625"/>
  <c r="O2624"/>
  <c r="N2624"/>
  <c r="L2624"/>
  <c r="I2624"/>
  <c r="O2623"/>
  <c r="N2623"/>
  <c r="L2623"/>
  <c r="I2623"/>
  <c r="O2622"/>
  <c r="N2622"/>
  <c r="L2622"/>
  <c r="I2622"/>
  <c r="O2621"/>
  <c r="N2621"/>
  <c r="L2621"/>
  <c r="I2621"/>
  <c r="O2620"/>
  <c r="N2620"/>
  <c r="L2620"/>
  <c r="I2620"/>
  <c r="O2619"/>
  <c r="N2619"/>
  <c r="L2619"/>
  <c r="I2619"/>
  <c r="O2618"/>
  <c r="N2618"/>
  <c r="L2618"/>
  <c r="I2618"/>
  <c r="O2617"/>
  <c r="N2617"/>
  <c r="L2617"/>
  <c r="I2617"/>
  <c r="O2615"/>
  <c r="N2615"/>
  <c r="L2615"/>
  <c r="I2615"/>
  <c r="O2614"/>
  <c r="N2614"/>
  <c r="L2614"/>
  <c r="I2614"/>
  <c r="O2613"/>
  <c r="N2613"/>
  <c r="L2613"/>
  <c r="I2613"/>
  <c r="O2612"/>
  <c r="N2612"/>
  <c r="L2612"/>
  <c r="I2612"/>
  <c r="O2611"/>
  <c r="N2611"/>
  <c r="L2611"/>
  <c r="I2611"/>
  <c r="O2610"/>
  <c r="N2610"/>
  <c r="L2610"/>
  <c r="I2610"/>
  <c r="O2609"/>
  <c r="N2609"/>
  <c r="L2609"/>
  <c r="I2609"/>
  <c r="O2608"/>
  <c r="N2608"/>
  <c r="L2608"/>
  <c r="I2608"/>
  <c r="O2607"/>
  <c r="N2607"/>
  <c r="L2607"/>
  <c r="I2607"/>
  <c r="O2606"/>
  <c r="N2606"/>
  <c r="L2606"/>
  <c r="I2606"/>
  <c r="O2605"/>
  <c r="N2605"/>
  <c r="L2605"/>
  <c r="I2605"/>
  <c r="O2604"/>
  <c r="N2604"/>
  <c r="L2604"/>
  <c r="I2604"/>
  <c r="O2603"/>
  <c r="N2603"/>
  <c r="L2603"/>
  <c r="I2603"/>
  <c r="O2602"/>
  <c r="N2602"/>
  <c r="L2602"/>
  <c r="I2602"/>
  <c r="O2601"/>
  <c r="N2601"/>
  <c r="L2601"/>
  <c r="I2601"/>
  <c r="O2598"/>
  <c r="N2598"/>
  <c r="L2598"/>
  <c r="I2598"/>
  <c r="O2596"/>
  <c r="N2596"/>
  <c r="L2596"/>
  <c r="I2596"/>
  <c r="O2595"/>
  <c r="N2595"/>
  <c r="L2595"/>
  <c r="I2595"/>
  <c r="O2594"/>
  <c r="N2594"/>
  <c r="L2594"/>
  <c r="I2594"/>
  <c r="O2593"/>
  <c r="N2593"/>
  <c r="L2593"/>
  <c r="I2593"/>
  <c r="O2592"/>
  <c r="N2592"/>
  <c r="L2592"/>
  <c r="I2592"/>
  <c r="O2591"/>
  <c r="N2591"/>
  <c r="L2591"/>
  <c r="I2591"/>
  <c r="O2590"/>
  <c r="N2590"/>
  <c r="L2590"/>
  <c r="I2590"/>
  <c r="O2589"/>
  <c r="N2589"/>
  <c r="L2589"/>
  <c r="I2589"/>
  <c r="O2588"/>
  <c r="N2588"/>
  <c r="L2588"/>
  <c r="I2588"/>
  <c r="O2587"/>
  <c r="N2587"/>
  <c r="L2587"/>
  <c r="I2587"/>
  <c r="O2586"/>
  <c r="N2586"/>
  <c r="L2586"/>
  <c r="I2586"/>
  <c r="O2585"/>
  <c r="N2585"/>
  <c r="L2585"/>
  <c r="I2585"/>
  <c r="O2583"/>
  <c r="N2583"/>
  <c r="L2583"/>
  <c r="I2583"/>
  <c r="O2582"/>
  <c r="N2582"/>
  <c r="L2582"/>
  <c r="I2582"/>
  <c r="O2581"/>
  <c r="N2581"/>
  <c r="L2581"/>
  <c r="I2581"/>
  <c r="O2580"/>
  <c r="N2580"/>
  <c r="L2580"/>
  <c r="I2580"/>
  <c r="O2579"/>
  <c r="N2579"/>
  <c r="L2579"/>
  <c r="I2579"/>
  <c r="O2578"/>
  <c r="N2578"/>
  <c r="L2578"/>
  <c r="I2578"/>
  <c r="O2576"/>
  <c r="N2576"/>
  <c r="L2576"/>
  <c r="I2576"/>
  <c r="O2575"/>
  <c r="N2575"/>
  <c r="L2575"/>
  <c r="I2575"/>
  <c r="O2574"/>
  <c r="N2574"/>
  <c r="L2574"/>
  <c r="I2574"/>
  <c r="O2573"/>
  <c r="N2573"/>
  <c r="L2573"/>
  <c r="I2573"/>
  <c r="O2572"/>
  <c r="N2572"/>
  <c r="L2572"/>
  <c r="I2572"/>
  <c r="O2571"/>
  <c r="N2571"/>
  <c r="L2571"/>
  <c r="I2571"/>
  <c r="O2567"/>
  <c r="N2567"/>
  <c r="L2567"/>
  <c r="I2567"/>
  <c r="O2566"/>
  <c r="N2566"/>
  <c r="L2566"/>
  <c r="I2566"/>
  <c r="O2565"/>
  <c r="N2565"/>
  <c r="L2565"/>
  <c r="I2565"/>
  <c r="O2564"/>
  <c r="N2564"/>
  <c r="L2564"/>
  <c r="I2564"/>
  <c r="O2563"/>
  <c r="N2563"/>
  <c r="L2563"/>
  <c r="I2563"/>
  <c r="O2562"/>
  <c r="N2562"/>
  <c r="L2562"/>
  <c r="I2562"/>
  <c r="O2561"/>
  <c r="N2561"/>
  <c r="L2561"/>
  <c r="I2561"/>
  <c r="O2560"/>
  <c r="N2560"/>
  <c r="L2560"/>
  <c r="I2560"/>
  <c r="O2559"/>
  <c r="N2559"/>
  <c r="L2559"/>
  <c r="I2559"/>
  <c r="O2558"/>
  <c r="N2558"/>
  <c r="L2558"/>
  <c r="I2558"/>
  <c r="O2557"/>
  <c r="N2557"/>
  <c r="L2557"/>
  <c r="I2557"/>
  <c r="O2556"/>
  <c r="N2556"/>
  <c r="L2556"/>
  <c r="I2556"/>
  <c r="O2555"/>
  <c r="N2555"/>
  <c r="L2555"/>
  <c r="I2555"/>
  <c r="O2554"/>
  <c r="N2554"/>
  <c r="L2554"/>
  <c r="I2554"/>
  <c r="O2552"/>
  <c r="N2552"/>
  <c r="L2552"/>
  <c r="I2552"/>
  <c r="O2550"/>
  <c r="N2550"/>
  <c r="L2550"/>
  <c r="I2550"/>
  <c r="O2549"/>
  <c r="N2549"/>
  <c r="L2549"/>
  <c r="I2549"/>
  <c r="O2548"/>
  <c r="N2548"/>
  <c r="L2548"/>
  <c r="I2548"/>
  <c r="O2546"/>
  <c r="N2546"/>
  <c r="L2546"/>
  <c r="I2546"/>
  <c r="O2544"/>
  <c r="N2544"/>
  <c r="L2544"/>
  <c r="I2544"/>
  <c r="O2542"/>
  <c r="N2542"/>
  <c r="L2542"/>
  <c r="I2542"/>
  <c r="O2541"/>
  <c r="N2541"/>
  <c r="L2541"/>
  <c r="I2541"/>
  <c r="O2540"/>
  <c r="N2540"/>
  <c r="L2540"/>
  <c r="I2540"/>
  <c r="O2539"/>
  <c r="N2539"/>
  <c r="L2539"/>
  <c r="I2539"/>
  <c r="O2538"/>
  <c r="N2538"/>
  <c r="L2538"/>
  <c r="I2538"/>
  <c r="O2537"/>
  <c r="N2537"/>
  <c r="L2537"/>
  <c r="I2537"/>
  <c r="O2536"/>
  <c r="N2536"/>
  <c r="L2536"/>
  <c r="I2536"/>
  <c r="O2534"/>
  <c r="N2534"/>
  <c r="L2534"/>
  <c r="I2534"/>
  <c r="O2533"/>
  <c r="N2533"/>
  <c r="L2533"/>
  <c r="I2533"/>
  <c r="O2532"/>
  <c r="N2532"/>
  <c r="L2532"/>
  <c r="I2532"/>
  <c r="O2531"/>
  <c r="N2531"/>
  <c r="L2531"/>
  <c r="I2531"/>
  <c r="O2530"/>
  <c r="N2530"/>
  <c r="L2530"/>
  <c r="I2530"/>
  <c r="O2529"/>
  <c r="N2529"/>
  <c r="L2529"/>
  <c r="I2529"/>
  <c r="O2528"/>
  <c r="N2528"/>
  <c r="L2528"/>
  <c r="I2528"/>
  <c r="O2527"/>
  <c r="N2527"/>
  <c r="L2527"/>
  <c r="I2527"/>
  <c r="O2526"/>
  <c r="N2526"/>
  <c r="L2526"/>
  <c r="I2526"/>
  <c r="O2525"/>
  <c r="N2525"/>
  <c r="L2525"/>
  <c r="I2525"/>
  <c r="O2524"/>
  <c r="N2524"/>
  <c r="L2524"/>
  <c r="I2524"/>
  <c r="O2523"/>
  <c r="N2523"/>
  <c r="L2523"/>
  <c r="I2523"/>
  <c r="O2522"/>
  <c r="N2522"/>
  <c r="L2522"/>
  <c r="I2522"/>
  <c r="O2520"/>
  <c r="N2520"/>
  <c r="L2520"/>
  <c r="I2520"/>
  <c r="O2519"/>
  <c r="N2519"/>
  <c r="L2519"/>
  <c r="I2519"/>
  <c r="O2518"/>
  <c r="N2518"/>
  <c r="L2518"/>
  <c r="I2518"/>
  <c r="O2517"/>
  <c r="N2517"/>
  <c r="L2517"/>
  <c r="I2517"/>
  <c r="O2516"/>
  <c r="N2516"/>
  <c r="L2516"/>
  <c r="I2516"/>
  <c r="O2515"/>
  <c r="N2515"/>
  <c r="L2515"/>
  <c r="I2515"/>
  <c r="O2514"/>
  <c r="N2514"/>
  <c r="L2514"/>
  <c r="I2514"/>
  <c r="O2513"/>
  <c r="N2513"/>
  <c r="L2513"/>
  <c r="I2513"/>
  <c r="O2512"/>
  <c r="N2512"/>
  <c r="L2512"/>
  <c r="I2512"/>
  <c r="O2511"/>
  <c r="N2511"/>
  <c r="L2511"/>
  <c r="I2511"/>
  <c r="O2510"/>
  <c r="N2510"/>
  <c r="L2510"/>
  <c r="I2510"/>
  <c r="O2509"/>
  <c r="N2509"/>
  <c r="L2509"/>
  <c r="I2509"/>
  <c r="O2507"/>
  <c r="N2507"/>
  <c r="L2507"/>
  <c r="I2507"/>
  <c r="O2506"/>
  <c r="N2506"/>
  <c r="L2506"/>
  <c r="I2506"/>
  <c r="O2505"/>
  <c r="N2505"/>
  <c r="L2505"/>
  <c r="I2505"/>
  <c r="O2504"/>
  <c r="N2504"/>
  <c r="L2504"/>
  <c r="I2504"/>
  <c r="O2503"/>
  <c r="N2503"/>
  <c r="L2503"/>
  <c r="I2503"/>
  <c r="O2502"/>
  <c r="N2502"/>
  <c r="L2502"/>
  <c r="I2502"/>
  <c r="O2501"/>
  <c r="N2501"/>
  <c r="L2501"/>
  <c r="I2501"/>
  <c r="O2500"/>
  <c r="N2500"/>
  <c r="L2500"/>
  <c r="I2500"/>
  <c r="O2499"/>
  <c r="N2499"/>
  <c r="L2499"/>
  <c r="I2499"/>
  <c r="O2498"/>
  <c r="N2498"/>
  <c r="L2498"/>
  <c r="I2498"/>
  <c r="O2497"/>
  <c r="N2497"/>
  <c r="L2497"/>
  <c r="I2497"/>
  <c r="O2496"/>
  <c r="N2496"/>
  <c r="L2496"/>
  <c r="I2496"/>
  <c r="O2495"/>
  <c r="N2495"/>
  <c r="L2495"/>
  <c r="I2495"/>
  <c r="O2494"/>
  <c r="N2494"/>
  <c r="L2494"/>
  <c r="I2494"/>
  <c r="O2493"/>
  <c r="N2493"/>
  <c r="L2493"/>
  <c r="I2493"/>
  <c r="O2492"/>
  <c r="N2492"/>
  <c r="L2492"/>
  <c r="I2492"/>
  <c r="O2491"/>
  <c r="N2491"/>
  <c r="L2491"/>
  <c r="I2491"/>
  <c r="O2490"/>
  <c r="N2490"/>
  <c r="L2490"/>
  <c r="I2490"/>
  <c r="O2489"/>
  <c r="N2489"/>
  <c r="L2489"/>
  <c r="I2489"/>
  <c r="O2488"/>
  <c r="N2488"/>
  <c r="L2488"/>
  <c r="I2488"/>
  <c r="O2487"/>
  <c r="N2487"/>
  <c r="L2487"/>
  <c r="I2487"/>
  <c r="O2486"/>
  <c r="N2486"/>
  <c r="L2486"/>
  <c r="I2486"/>
  <c r="O2485"/>
  <c r="N2485"/>
  <c r="L2485"/>
  <c r="I2485"/>
  <c r="O2484"/>
  <c r="N2484"/>
  <c r="L2484"/>
  <c r="I2484"/>
  <c r="O2482"/>
  <c r="N2482"/>
  <c r="L2482"/>
  <c r="I2482"/>
  <c r="O2481"/>
  <c r="N2481"/>
  <c r="L2481"/>
  <c r="I2481"/>
  <c r="O2480"/>
  <c r="N2480"/>
  <c r="L2480"/>
  <c r="I2480"/>
  <c r="O2479"/>
  <c r="N2479"/>
  <c r="L2479"/>
  <c r="I2479"/>
  <c r="O2478"/>
  <c r="N2478"/>
  <c r="L2478"/>
  <c r="I2478"/>
  <c r="O2477"/>
  <c r="N2477"/>
  <c r="L2477"/>
  <c r="I2477"/>
  <c r="O2476"/>
  <c r="N2476"/>
  <c r="L2476"/>
  <c r="I2476"/>
  <c r="O2475"/>
  <c r="N2475"/>
  <c r="L2475"/>
  <c r="I2475"/>
  <c r="O2474"/>
  <c r="N2474"/>
  <c r="L2474"/>
  <c r="I2474"/>
  <c r="O2473"/>
  <c r="N2473"/>
  <c r="L2473"/>
  <c r="I2473"/>
  <c r="O2472"/>
  <c r="N2472"/>
  <c r="L2472"/>
  <c r="I2472"/>
  <c r="O2471"/>
  <c r="N2471"/>
  <c r="L2471"/>
  <c r="I2471"/>
  <c r="O2470"/>
  <c r="N2470"/>
  <c r="L2470"/>
  <c r="I2470"/>
  <c r="O2469"/>
  <c r="N2469"/>
  <c r="L2469"/>
  <c r="I2469"/>
  <c r="O2468"/>
  <c r="N2468"/>
  <c r="L2468"/>
  <c r="I2468"/>
  <c r="O2467"/>
  <c r="N2467"/>
  <c r="L2467"/>
  <c r="I2467"/>
  <c r="O2466"/>
  <c r="N2466"/>
  <c r="L2466"/>
  <c r="I2466"/>
  <c r="O2465"/>
  <c r="N2465"/>
  <c r="L2465"/>
  <c r="I2465"/>
  <c r="O2464"/>
  <c r="N2464"/>
  <c r="L2464"/>
  <c r="I2464"/>
  <c r="O2463"/>
  <c r="N2463"/>
  <c r="L2463"/>
  <c r="I2463"/>
  <c r="O2462"/>
  <c r="N2462"/>
  <c r="L2462"/>
  <c r="I2462"/>
  <c r="O2461"/>
  <c r="N2461"/>
  <c r="L2461"/>
  <c r="I2461"/>
  <c r="O2460"/>
  <c r="N2460"/>
  <c r="L2460"/>
  <c r="I2460"/>
  <c r="O2459"/>
  <c r="N2459"/>
  <c r="L2459"/>
  <c r="I2459"/>
  <c r="O2458"/>
  <c r="N2458"/>
  <c r="L2458"/>
  <c r="I2458"/>
  <c r="O2457"/>
  <c r="N2457"/>
  <c r="L2457"/>
  <c r="I2457"/>
  <c r="O2456"/>
  <c r="N2456"/>
  <c r="L2456"/>
  <c r="I2456"/>
  <c r="O2455"/>
  <c r="N2455"/>
  <c r="L2455"/>
  <c r="I2455"/>
  <c r="O2454"/>
  <c r="N2454"/>
  <c r="L2454"/>
  <c r="I2454"/>
  <c r="O2453"/>
  <c r="N2453"/>
  <c r="L2453"/>
  <c r="I2453"/>
  <c r="O2451"/>
  <c r="N2451"/>
  <c r="L2451"/>
  <c r="I2451"/>
  <c r="O2450"/>
  <c r="N2450"/>
  <c r="L2450"/>
  <c r="I2450"/>
  <c r="O2449"/>
  <c r="N2449"/>
  <c r="L2449"/>
  <c r="I2449"/>
  <c r="O2448"/>
  <c r="N2448"/>
  <c r="L2448"/>
  <c r="I2448"/>
  <c r="O2447"/>
  <c r="N2447"/>
  <c r="L2447"/>
  <c r="I2447"/>
  <c r="O2446"/>
  <c r="N2446"/>
  <c r="L2446"/>
  <c r="I2446"/>
  <c r="O2445"/>
  <c r="N2445"/>
  <c r="L2445"/>
  <c r="I2445"/>
  <c r="O2444"/>
  <c r="N2444"/>
  <c r="L2444"/>
  <c r="I2444"/>
  <c r="O2443"/>
  <c r="N2443"/>
  <c r="L2443"/>
  <c r="I2443"/>
  <c r="O2442"/>
  <c r="N2442"/>
  <c r="L2442"/>
  <c r="I2442"/>
  <c r="O2441"/>
  <c r="N2441"/>
  <c r="L2441"/>
  <c r="I2441"/>
  <c r="O2440"/>
  <c r="N2440"/>
  <c r="L2440"/>
  <c r="I2440"/>
  <c r="O2439"/>
  <c r="N2439"/>
  <c r="L2439"/>
  <c r="I2439"/>
  <c r="O2438"/>
  <c r="N2438"/>
  <c r="L2438"/>
  <c r="I2438"/>
  <c r="O2437"/>
  <c r="N2437"/>
  <c r="L2437"/>
  <c r="I2437"/>
  <c r="O2436"/>
  <c r="N2436"/>
  <c r="L2436"/>
  <c r="I2436"/>
  <c r="O2435"/>
  <c r="N2435"/>
  <c r="L2435"/>
  <c r="I2435"/>
  <c r="O2434"/>
  <c r="N2434"/>
  <c r="L2434"/>
  <c r="I2434"/>
  <c r="O2433"/>
  <c r="N2433"/>
  <c r="L2433"/>
  <c r="I2433"/>
  <c r="O2432"/>
  <c r="N2432"/>
  <c r="L2432"/>
  <c r="I2432"/>
  <c r="O2431"/>
  <c r="N2431"/>
  <c r="L2431"/>
  <c r="I2431"/>
  <c r="O2430"/>
  <c r="N2430"/>
  <c r="L2430"/>
  <c r="I2430"/>
  <c r="O2429"/>
  <c r="N2429"/>
  <c r="L2429"/>
  <c r="I2429"/>
  <c r="O2428"/>
  <c r="N2428"/>
  <c r="L2428"/>
  <c r="I2428"/>
  <c r="O2427"/>
  <c r="N2427"/>
  <c r="L2427"/>
  <c r="I2427"/>
  <c r="O2426"/>
  <c r="N2426"/>
  <c r="L2426"/>
  <c r="I2426"/>
  <c r="O2425"/>
  <c r="N2425"/>
  <c r="L2425"/>
  <c r="I2425"/>
  <c r="O2424"/>
  <c r="N2424"/>
  <c r="L2424"/>
  <c r="I2424"/>
  <c r="O2423"/>
  <c r="N2423"/>
  <c r="L2423"/>
  <c r="I2423"/>
  <c r="O2422"/>
  <c r="N2422"/>
  <c r="L2422"/>
  <c r="I2422"/>
  <c r="O2421"/>
  <c r="N2421"/>
  <c r="L2421"/>
  <c r="I2421"/>
  <c r="O2420"/>
  <c r="N2420"/>
  <c r="L2420"/>
  <c r="I2420"/>
  <c r="O2419"/>
  <c r="N2419"/>
  <c r="L2419"/>
  <c r="I2419"/>
  <c r="O2418"/>
  <c r="N2418"/>
  <c r="L2418"/>
  <c r="I2418"/>
  <c r="O2417"/>
  <c r="N2417"/>
  <c r="L2417"/>
  <c r="I2417"/>
  <c r="O2416"/>
  <c r="N2416"/>
  <c r="L2416"/>
  <c r="I2416"/>
  <c r="O2415"/>
  <c r="N2415"/>
  <c r="L2415"/>
  <c r="I2415"/>
  <c r="O2414"/>
  <c r="N2414"/>
  <c r="L2414"/>
  <c r="I2414"/>
  <c r="O2413"/>
  <c r="N2413"/>
  <c r="L2413"/>
  <c r="I2413"/>
  <c r="O2412"/>
  <c r="N2412"/>
  <c r="L2412"/>
  <c r="I2412"/>
  <c r="O2411"/>
  <c r="N2411"/>
  <c r="L2411"/>
  <c r="I2411"/>
  <c r="O2410"/>
  <c r="N2410"/>
  <c r="L2410"/>
  <c r="I2410"/>
  <c r="O2409"/>
  <c r="N2409"/>
  <c r="L2409"/>
  <c r="I2409"/>
  <c r="O2408"/>
  <c r="N2408"/>
  <c r="L2408"/>
  <c r="I2408"/>
  <c r="O2407"/>
  <c r="N2407"/>
  <c r="L2407"/>
  <c r="I2407"/>
  <c r="O2406"/>
  <c r="N2406"/>
  <c r="L2406"/>
  <c r="I2406"/>
  <c r="O2405"/>
  <c r="N2405"/>
  <c r="L2405"/>
  <c r="I2405"/>
  <c r="O2404"/>
  <c r="N2404"/>
  <c r="L2404"/>
  <c r="I2404"/>
  <c r="O2403"/>
  <c r="N2403"/>
  <c r="L2403"/>
  <c r="I2403"/>
  <c r="O2401"/>
  <c r="N2401"/>
  <c r="L2401"/>
  <c r="I2401"/>
  <c r="O2400"/>
  <c r="N2400"/>
  <c r="L2400"/>
  <c r="I2400"/>
  <c r="O2399"/>
  <c r="N2399"/>
  <c r="L2399"/>
  <c r="I2399"/>
  <c r="O2398"/>
  <c r="N2398"/>
  <c r="L2398"/>
  <c r="I2398"/>
  <c r="O2397"/>
  <c r="N2397"/>
  <c r="L2397"/>
  <c r="I2397"/>
  <c r="O2396"/>
  <c r="N2396"/>
  <c r="L2396"/>
  <c r="I2396"/>
  <c r="O2395"/>
  <c r="N2395"/>
  <c r="L2395"/>
  <c r="I2395"/>
  <c r="O2394"/>
  <c r="N2394"/>
  <c r="L2394"/>
  <c r="I2394"/>
  <c r="O2393"/>
  <c r="N2393"/>
  <c r="L2393"/>
  <c r="I2393"/>
  <c r="O2392"/>
  <c r="N2392"/>
  <c r="L2392"/>
  <c r="I2392"/>
  <c r="O2391"/>
  <c r="N2391"/>
  <c r="L2391"/>
  <c r="I2391"/>
  <c r="O2390"/>
  <c r="N2390"/>
  <c r="L2390"/>
  <c r="I2390"/>
  <c r="O2388"/>
  <c r="N2388"/>
  <c r="L2388"/>
  <c r="I2388"/>
  <c r="O2387"/>
  <c r="N2387"/>
  <c r="L2387"/>
  <c r="I2387"/>
  <c r="O2386"/>
  <c r="N2386"/>
  <c r="L2386"/>
  <c r="I2386"/>
  <c r="O2385"/>
  <c r="N2385"/>
  <c r="L2385"/>
  <c r="I2385"/>
  <c r="O2384"/>
  <c r="N2384"/>
  <c r="L2384"/>
  <c r="I2384"/>
  <c r="O2383"/>
  <c r="N2383"/>
  <c r="L2383"/>
  <c r="I2383"/>
  <c r="O2382"/>
  <c r="N2382"/>
  <c r="L2382"/>
  <c r="I2382"/>
  <c r="O2381"/>
  <c r="N2381"/>
  <c r="L2381"/>
  <c r="I2381"/>
  <c r="O2380"/>
  <c r="N2380"/>
  <c r="L2380"/>
  <c r="I2380"/>
  <c r="O2379"/>
  <c r="N2379"/>
  <c r="L2379"/>
  <c r="I2379"/>
  <c r="O2378"/>
  <c r="N2378"/>
  <c r="L2378"/>
  <c r="I2378"/>
  <c r="O2377"/>
  <c r="N2377"/>
  <c r="L2377"/>
  <c r="I2377"/>
  <c r="O2375"/>
  <c r="N2375"/>
  <c r="L2375"/>
  <c r="I2375"/>
  <c r="O2374"/>
  <c r="N2374"/>
  <c r="L2374"/>
  <c r="I2374"/>
  <c r="O2373"/>
  <c r="N2373"/>
  <c r="L2373"/>
  <c r="I2373"/>
  <c r="O2372"/>
  <c r="N2372"/>
  <c r="L2372"/>
  <c r="I2372"/>
  <c r="O2371"/>
  <c r="N2371"/>
  <c r="L2371"/>
  <c r="I2371"/>
  <c r="O2370"/>
  <c r="N2370"/>
  <c r="L2370"/>
  <c r="I2370"/>
  <c r="O2369"/>
  <c r="N2369"/>
  <c r="L2369"/>
  <c r="I2369"/>
  <c r="O2368"/>
  <c r="N2368"/>
  <c r="L2368"/>
  <c r="I2368"/>
  <c r="O2367"/>
  <c r="N2367"/>
  <c r="L2367"/>
  <c r="I2367"/>
  <c r="O2366"/>
  <c r="N2366"/>
  <c r="L2366"/>
  <c r="I2366"/>
  <c r="O2365"/>
  <c r="N2365"/>
  <c r="L2365"/>
  <c r="I2365"/>
  <c r="O2364"/>
  <c r="N2364"/>
  <c r="L2364"/>
  <c r="I2364"/>
  <c r="O2363"/>
  <c r="N2363"/>
  <c r="L2363"/>
  <c r="I2363"/>
  <c r="O2362"/>
  <c r="N2362"/>
  <c r="L2362"/>
  <c r="I2362"/>
  <c r="O2361"/>
  <c r="N2361"/>
  <c r="L2361"/>
  <c r="I2361"/>
  <c r="O2360"/>
  <c r="N2360"/>
  <c r="L2360"/>
  <c r="I2360"/>
  <c r="O2359"/>
  <c r="N2359"/>
  <c r="L2359"/>
  <c r="I2359"/>
  <c r="O2358"/>
  <c r="N2358"/>
  <c r="L2358"/>
  <c r="I2358"/>
  <c r="O2356"/>
  <c r="N2356"/>
  <c r="L2356"/>
  <c r="I2356"/>
  <c r="O2355"/>
  <c r="N2355"/>
  <c r="L2355"/>
  <c r="I2355"/>
  <c r="O2354"/>
  <c r="N2354"/>
  <c r="L2354"/>
  <c r="I2354"/>
  <c r="O2353"/>
  <c r="N2353"/>
  <c r="L2353"/>
  <c r="I2353"/>
  <c r="O2352"/>
  <c r="N2352"/>
  <c r="L2352"/>
  <c r="I2352"/>
  <c r="O2351"/>
  <c r="N2351"/>
  <c r="L2351"/>
  <c r="I2351"/>
  <c r="O2350"/>
  <c r="N2350"/>
  <c r="L2350"/>
  <c r="I2350"/>
  <c r="O2349"/>
  <c r="N2349"/>
  <c r="L2349"/>
  <c r="I2349"/>
  <c r="O2347"/>
  <c r="N2347"/>
  <c r="L2347"/>
  <c r="I2347"/>
  <c r="O2346"/>
  <c r="N2346"/>
  <c r="L2346"/>
  <c r="I2346"/>
  <c r="O2345"/>
  <c r="N2345"/>
  <c r="L2345"/>
  <c r="I2345"/>
  <c r="O2344"/>
  <c r="N2344"/>
  <c r="L2344"/>
  <c r="I2344"/>
  <c r="O2343"/>
  <c r="N2343"/>
  <c r="L2343"/>
  <c r="I2343"/>
  <c r="O2342"/>
  <c r="N2342"/>
  <c r="L2342"/>
  <c r="I2342"/>
  <c r="O2341"/>
  <c r="N2341"/>
  <c r="L2341"/>
  <c r="I2341"/>
  <c r="O2340"/>
  <c r="N2340"/>
  <c r="L2340"/>
  <c r="I2340"/>
  <c r="O2339"/>
  <c r="N2339"/>
  <c r="L2339"/>
  <c r="I2339"/>
  <c r="O2338"/>
  <c r="N2338"/>
  <c r="L2338"/>
  <c r="I2338"/>
  <c r="O2337"/>
  <c r="N2337"/>
  <c r="L2337"/>
  <c r="I2337"/>
  <c r="O2336"/>
  <c r="N2336"/>
  <c r="L2336"/>
  <c r="I2336"/>
  <c r="O2335"/>
  <c r="N2335"/>
  <c r="L2335"/>
  <c r="I2335"/>
  <c r="O2334"/>
  <c r="N2334"/>
  <c r="L2334"/>
  <c r="I2334"/>
  <c r="O2333"/>
  <c r="N2333"/>
  <c r="L2333"/>
  <c r="I2333"/>
  <c r="O2332"/>
  <c r="N2332"/>
  <c r="L2332"/>
  <c r="I2332"/>
  <c r="O2331"/>
  <c r="N2331"/>
  <c r="L2331"/>
  <c r="I2331"/>
  <c r="O2330"/>
  <c r="N2330"/>
  <c r="L2330"/>
  <c r="I2330"/>
  <c r="O2329"/>
  <c r="N2329"/>
  <c r="L2329"/>
  <c r="I2329"/>
  <c r="O2328"/>
  <c r="N2328"/>
  <c r="L2328"/>
  <c r="I2328"/>
  <c r="O2326"/>
  <c r="N2326"/>
  <c r="L2326"/>
  <c r="I2326"/>
  <c r="O2325"/>
  <c r="N2325"/>
  <c r="L2325"/>
  <c r="I2325"/>
  <c r="O2324"/>
  <c r="N2324"/>
  <c r="L2324"/>
  <c r="I2324"/>
  <c r="O2323"/>
  <c r="N2323"/>
  <c r="L2323"/>
  <c r="I2323"/>
  <c r="O2322"/>
  <c r="N2322"/>
  <c r="L2322"/>
  <c r="I2322"/>
  <c r="O2321"/>
  <c r="N2321"/>
  <c r="L2321"/>
  <c r="I2321"/>
  <c r="O2319"/>
  <c r="N2319"/>
  <c r="L2319"/>
  <c r="I2319"/>
  <c r="O2318"/>
  <c r="N2318"/>
  <c r="L2318"/>
  <c r="I2318"/>
  <c r="O2316"/>
  <c r="N2316"/>
  <c r="L2316"/>
  <c r="I2316"/>
  <c r="O2314"/>
  <c r="N2314"/>
  <c r="L2314"/>
  <c r="I2314"/>
  <c r="O2312"/>
  <c r="N2312"/>
  <c r="L2312"/>
  <c r="I2312"/>
  <c r="O2311"/>
  <c r="N2311"/>
  <c r="L2311"/>
  <c r="I2311"/>
  <c r="O2309"/>
  <c r="N2309"/>
  <c r="L2309"/>
  <c r="I2309"/>
  <c r="O2307"/>
  <c r="N2307"/>
  <c r="L2307"/>
  <c r="I2307"/>
  <c r="O2305"/>
  <c r="N2305"/>
  <c r="L2305"/>
  <c r="I2305"/>
  <c r="O2304"/>
  <c r="N2304"/>
  <c r="L2304"/>
  <c r="I2304"/>
  <c r="O2302"/>
  <c r="N2302"/>
  <c r="L2302"/>
  <c r="I2302"/>
  <c r="O2301"/>
  <c r="N2301"/>
  <c r="L2301"/>
  <c r="I2301"/>
  <c r="O2300"/>
  <c r="N2300"/>
  <c r="L2300"/>
  <c r="I2300"/>
  <c r="O2299"/>
  <c r="N2299"/>
  <c r="L2299"/>
  <c r="I2299"/>
  <c r="O2298"/>
  <c r="N2298"/>
  <c r="L2298"/>
  <c r="I2298"/>
  <c r="O2297"/>
  <c r="N2297"/>
  <c r="L2297"/>
  <c r="I2297"/>
  <c r="O2295"/>
  <c r="N2295"/>
  <c r="L2295"/>
  <c r="I2295"/>
  <c r="O2294"/>
  <c r="N2294"/>
  <c r="L2294"/>
  <c r="I2294"/>
  <c r="O2293"/>
  <c r="N2293"/>
  <c r="L2293"/>
  <c r="I2293"/>
  <c r="O2292"/>
  <c r="N2292"/>
  <c r="L2292"/>
  <c r="I2292"/>
  <c r="O2291"/>
  <c r="N2291"/>
  <c r="L2291"/>
  <c r="I2291"/>
  <c r="I35"/>
  <c r="L35"/>
  <c r="M35"/>
  <c r="N35"/>
  <c r="O35"/>
  <c r="I32"/>
  <c r="L32"/>
  <c r="M32"/>
  <c r="N32"/>
  <c r="O32"/>
  <c r="I33"/>
  <c r="L33"/>
  <c r="M33"/>
  <c r="N33"/>
  <c r="O33"/>
  <c r="I29"/>
  <c r="L29"/>
  <c r="M29"/>
  <c r="N29"/>
  <c r="O29"/>
  <c r="I30"/>
  <c r="L30"/>
  <c r="M30"/>
  <c r="N30"/>
  <c r="O30"/>
  <c r="I26"/>
  <c r="L26"/>
  <c r="M26"/>
  <c r="N26"/>
  <c r="O26"/>
  <c r="I27"/>
  <c r="L27"/>
  <c r="M27"/>
  <c r="N27"/>
  <c r="O27"/>
  <c r="I21"/>
  <c r="L21"/>
  <c r="M21"/>
  <c r="N21"/>
  <c r="O21"/>
  <c r="I22"/>
  <c r="L22"/>
  <c r="M22"/>
  <c r="N22"/>
  <c r="O22"/>
  <c r="I23"/>
  <c r="L23"/>
  <c r="M23"/>
  <c r="N23"/>
  <c r="O23"/>
  <c r="I24"/>
  <c r="L24"/>
  <c r="M24"/>
  <c r="N24"/>
  <c r="O24"/>
  <c r="I13"/>
  <c r="L13"/>
  <c r="M13"/>
  <c r="N13"/>
  <c r="O13"/>
  <c r="I14"/>
  <c r="L14"/>
  <c r="M14"/>
  <c r="N14"/>
  <c r="O14"/>
  <c r="I15"/>
  <c r="L15"/>
  <c r="M15"/>
  <c r="N15"/>
  <c r="O15"/>
  <c r="I16"/>
  <c r="L16"/>
  <c r="M16"/>
  <c r="N16"/>
  <c r="O16"/>
  <c r="I17"/>
  <c r="L17"/>
  <c r="M17"/>
  <c r="N17"/>
  <c r="O17"/>
  <c r="I18"/>
  <c r="L18"/>
  <c r="M18"/>
  <c r="N18"/>
  <c r="O18"/>
  <c r="I19"/>
  <c r="L19"/>
  <c r="M19"/>
  <c r="N19"/>
  <c r="O19"/>
  <c r="A14" i="3"/>
  <c r="A15" s="1"/>
  <c r="A16" s="1"/>
  <c r="A17" s="1"/>
  <c r="A18" s="1"/>
  <c r="A19" s="1"/>
  <c r="A20" s="1"/>
  <c r="A21" s="1"/>
  <c r="A22" s="1"/>
  <c r="N24"/>
  <c r="M24"/>
  <c r="L24"/>
  <c r="K24"/>
  <c r="R2291" i="2"/>
  <c r="R2601"/>
  <c r="R2663"/>
  <c r="R13"/>
  <c r="R2571"/>
  <c r="R2651"/>
  <c r="R2636"/>
  <c r="B13" i="3" l="1"/>
  <c r="R2292" i="2"/>
  <c r="R2664"/>
  <c r="R2572"/>
  <c r="R2652"/>
  <c r="R2653" s="1"/>
  <c r="R2655" s="1"/>
  <c r="R2602"/>
  <c r="R2603" s="1"/>
  <c r="R14"/>
  <c r="R15" s="1"/>
  <c r="R16" s="1"/>
  <c r="R2637"/>
  <c r="R2638"/>
  <c r="R2639" s="1"/>
  <c r="R2640" s="1"/>
  <c r="R2573"/>
  <c r="R2574" s="1"/>
  <c r="R2293"/>
  <c r="R2665"/>
  <c r="R2666" s="1"/>
  <c r="R2667" s="1"/>
  <c r="R2641"/>
  <c r="R2643" s="1"/>
  <c r="R2644" s="1"/>
  <c r="R17"/>
  <c r="R18" s="1"/>
  <c r="R2575"/>
  <c r="R2576" s="1"/>
  <c r="R2294"/>
  <c r="R2669"/>
  <c r="R2295"/>
  <c r="R2656"/>
  <c r="R2604"/>
  <c r="R19"/>
  <c r="R21" s="1"/>
  <c r="B14" i="3" l="1"/>
  <c r="R2605" i="2"/>
  <c r="R2606" s="1"/>
  <c r="R2607" s="1"/>
  <c r="R2608" s="1"/>
  <c r="R2609" s="1"/>
  <c r="R2670"/>
  <c r="R2645"/>
  <c r="R22"/>
  <c r="R2657"/>
  <c r="R2578"/>
  <c r="R2297"/>
  <c r="R2579"/>
  <c r="R23"/>
  <c r="R2610"/>
  <c r="R2298"/>
  <c r="R2658"/>
  <c r="R2659" s="1"/>
  <c r="R2660" s="1"/>
  <c r="R2671"/>
  <c r="R2646"/>
  <c r="R2647" s="1"/>
  <c r="R2648"/>
  <c r="R2299"/>
  <c r="R2300" s="1"/>
  <c r="R2301" s="1"/>
  <c r="R24"/>
  <c r="R2673"/>
  <c r="R2611"/>
  <c r="R2580"/>
  <c r="R26"/>
  <c r="R27" s="1"/>
  <c r="R29" s="1"/>
  <c r="R30" s="1"/>
  <c r="R32" s="1"/>
  <c r="R33" s="1"/>
  <c r="R35" s="1"/>
  <c r="B16" i="3" l="1"/>
  <c r="G20"/>
  <c r="K20" s="1"/>
  <c r="D17"/>
  <c r="C15"/>
  <c r="E19"/>
  <c r="F19"/>
  <c r="C18"/>
  <c r="J22"/>
  <c r="N22" s="1"/>
  <c r="D14"/>
  <c r="B21"/>
  <c r="C13"/>
  <c r="D19"/>
  <c r="H21"/>
  <c r="L21" s="1"/>
  <c r="F18"/>
  <c r="J15"/>
  <c r="E18"/>
  <c r="J13"/>
  <c r="J18"/>
  <c r="N18" s="1"/>
  <c r="B17"/>
  <c r="I14"/>
  <c r="B22"/>
  <c r="D13"/>
  <c r="I16"/>
  <c r="M16" s="1"/>
  <c r="I20"/>
  <c r="M20" s="1"/>
  <c r="E15"/>
  <c r="E20"/>
  <c r="H17"/>
  <c r="L17" s="1"/>
  <c r="G16"/>
  <c r="B18"/>
  <c r="I19"/>
  <c r="M19" s="1"/>
  <c r="B20"/>
  <c r="J17"/>
  <c r="N17" s="1"/>
  <c r="C21"/>
  <c r="E16"/>
  <c r="H16"/>
  <c r="H22"/>
  <c r="L22" s="1"/>
  <c r="E14"/>
  <c r="C16"/>
  <c r="C19"/>
  <c r="H20"/>
  <c r="L20" s="1"/>
  <c r="H14"/>
  <c r="L14" s="1"/>
  <c r="E13"/>
  <c r="J19"/>
  <c r="N19" s="1"/>
  <c r="E22"/>
  <c r="B15"/>
  <c r="G22"/>
  <c r="K22" s="1"/>
  <c r="C14"/>
  <c r="D16"/>
  <c r="H13"/>
  <c r="D21"/>
  <c r="J16"/>
  <c r="N16" s="1"/>
  <c r="C20"/>
  <c r="J21"/>
  <c r="N21" s="1"/>
  <c r="F22"/>
  <c r="H18"/>
  <c r="J20"/>
  <c r="N20" s="1"/>
  <c r="H19"/>
  <c r="L19" s="1"/>
  <c r="H15"/>
  <c r="B19"/>
  <c r="G14"/>
  <c r="D22"/>
  <c r="E21"/>
  <c r="C22"/>
  <c r="D15"/>
  <c r="F20"/>
  <c r="C17"/>
  <c r="I13"/>
  <c r="G21"/>
  <c r="K21" s="1"/>
  <c r="F21"/>
  <c r="I22"/>
  <c r="M22" s="1"/>
  <c r="I21"/>
  <c r="M21" s="1"/>
  <c r="F13"/>
  <c r="E17"/>
  <c r="F16"/>
  <c r="F15"/>
  <c r="F17"/>
  <c r="G15"/>
  <c r="G18"/>
  <c r="I15"/>
  <c r="M15" s="1"/>
  <c r="D20"/>
  <c r="G17"/>
  <c r="J14"/>
  <c r="I18"/>
  <c r="F14"/>
  <c r="I17"/>
  <c r="M17" s="1"/>
  <c r="G19"/>
  <c r="K19" s="1"/>
  <c r="D18"/>
  <c r="G13"/>
  <c r="R2581" i="2"/>
  <c r="R2582" s="1"/>
  <c r="R2583" s="1"/>
  <c r="R2674"/>
  <c r="R2675" s="1"/>
  <c r="R2612"/>
  <c r="R2302"/>
  <c r="M18" i="3" l="1"/>
  <c r="K17"/>
  <c r="K15"/>
  <c r="M13"/>
  <c r="L13"/>
  <c r="L16"/>
  <c r="N13"/>
  <c r="L18"/>
  <c r="N15"/>
  <c r="K13"/>
  <c r="N14"/>
  <c r="K18"/>
  <c r="K14"/>
  <c r="L15"/>
  <c r="K16"/>
  <c r="M14"/>
  <c r="R2613" i="2"/>
  <c r="R2614" s="1"/>
  <c r="R2615" s="1"/>
  <c r="R2585"/>
  <c r="R2586" s="1"/>
  <c r="R2304"/>
  <c r="R2305" s="1"/>
  <c r="R2307" s="1"/>
  <c r="R2676"/>
  <c r="R2677" s="1"/>
  <c r="R2678" s="1"/>
  <c r="R2679" s="1"/>
  <c r="R2681"/>
  <c r="R2587"/>
  <c r="R2309"/>
  <c r="R2617"/>
  <c r="R2311"/>
  <c r="R2683"/>
  <c r="R2618"/>
  <c r="R2588"/>
  <c r="R2589"/>
  <c r="R2684"/>
  <c r="R2619"/>
  <c r="R2312"/>
  <c r="R2314" s="1"/>
  <c r="R2316" s="1"/>
  <c r="R2318" s="1"/>
  <c r="R2319" s="1"/>
  <c r="R2321" s="1"/>
  <c r="R2322" s="1"/>
  <c r="R2323" s="1"/>
  <c r="R2324" s="1"/>
  <c r="R2620"/>
  <c r="R2590"/>
  <c r="R2325"/>
  <c r="R2685"/>
  <c r="R2686"/>
  <c r="R2591"/>
  <c r="R2326"/>
  <c r="R2621"/>
  <c r="R2328"/>
  <c r="R2687"/>
  <c r="R2622"/>
  <c r="R2592"/>
  <c r="R2593"/>
  <c r="R2688"/>
  <c r="R2623"/>
  <c r="R2329"/>
  <c r="R2330" s="1"/>
  <c r="R2331" s="1"/>
  <c r="R2332" s="1"/>
  <c r="R2333" s="1"/>
  <c r="R2334" s="1"/>
  <c r="R2335" s="1"/>
  <c r="R2336" s="1"/>
  <c r="R2337" s="1"/>
  <c r="R2338" s="1"/>
  <c r="R2339" s="1"/>
  <c r="R2340" s="1"/>
  <c r="R2341" s="1"/>
  <c r="R2342" s="1"/>
  <c r="R2343" s="1"/>
  <c r="R2344" s="1"/>
  <c r="R2345" s="1"/>
  <c r="R2346" s="1"/>
  <c r="R2347" s="1"/>
  <c r="R2349" s="1"/>
  <c r="R2350" s="1"/>
  <c r="R2351" s="1"/>
  <c r="R2352" s="1"/>
  <c r="R2353" s="1"/>
  <c r="R2354" s="1"/>
  <c r="R2355" s="1"/>
  <c r="R2356" s="1"/>
  <c r="R2358" s="1"/>
  <c r="R2359" s="1"/>
  <c r="R2360" s="1"/>
  <c r="R2361" s="1"/>
  <c r="R2362" s="1"/>
  <c r="R2363" s="1"/>
  <c r="R2364" s="1"/>
  <c r="R2365" s="1"/>
  <c r="R2366" s="1"/>
  <c r="R2367" s="1"/>
  <c r="R2368" s="1"/>
  <c r="R2369" s="1"/>
  <c r="R2370" s="1"/>
  <c r="R2371" s="1"/>
  <c r="R2372" s="1"/>
  <c r="R2373" s="1"/>
  <c r="R2374" s="1"/>
  <c r="R2375" s="1"/>
  <c r="R2377" s="1"/>
  <c r="R2378" s="1"/>
  <c r="R2379" s="1"/>
  <c r="R2380" s="1"/>
  <c r="R2381" s="1"/>
  <c r="R2382" s="1"/>
  <c r="R2383" s="1"/>
  <c r="R2384" s="1"/>
  <c r="R2385" s="1"/>
  <c r="R2386" s="1"/>
  <c r="R2387" s="1"/>
  <c r="R2388" s="1"/>
  <c r="R2624"/>
  <c r="R2594"/>
  <c r="R2390"/>
  <c r="R2391" s="1"/>
  <c r="R2392" s="1"/>
  <c r="R2393" s="1"/>
  <c r="R2689"/>
  <c r="R2690"/>
  <c r="R2595"/>
  <c r="R2394"/>
  <c r="R2395" s="1"/>
  <c r="R2396" s="1"/>
  <c r="R2397" s="1"/>
  <c r="R2625"/>
  <c r="R2398"/>
  <c r="R2399" s="1"/>
  <c r="R2400" s="1"/>
  <c r="R2401" s="1"/>
  <c r="R2691"/>
  <c r="R2692" s="1"/>
  <c r="R2693" s="1"/>
  <c r="R2694" s="1"/>
  <c r="R2695" s="1"/>
  <c r="R2697" s="1"/>
  <c r="R2698" s="1"/>
  <c r="R2626"/>
  <c r="R2596"/>
  <c r="R2598"/>
  <c r="R2699"/>
  <c r="R2700" s="1"/>
  <c r="R2627"/>
  <c r="R2403"/>
  <c r="R2404" s="1"/>
  <c r="R2405" s="1"/>
  <c r="R2406" s="1"/>
  <c r="R2628"/>
  <c r="R2629" s="1"/>
  <c r="R2630" s="1"/>
  <c r="R2631" s="1"/>
  <c r="R2407"/>
  <c r="R2408" s="1"/>
  <c r="R2409" s="1"/>
  <c r="R2410" s="1"/>
  <c r="R2701"/>
  <c r="R2703" s="1"/>
  <c r="R2704"/>
  <c r="R2705" s="1"/>
  <c r="R2632"/>
  <c r="R2411"/>
  <c r="R2412" s="1"/>
  <c r="R2413" s="1"/>
  <c r="R2414" s="1"/>
  <c r="R2706"/>
  <c r="R2707" s="1"/>
  <c r="R2415"/>
  <c r="R2416" s="1"/>
  <c r="R2417" s="1"/>
  <c r="R2418" s="1"/>
  <c r="R2419"/>
  <c r="R2420" s="1"/>
  <c r="R2421" s="1"/>
  <c r="R2422" s="1"/>
  <c r="R2708"/>
  <c r="R2709" s="1"/>
  <c r="R2423"/>
  <c r="R2424" s="1"/>
  <c r="R2425" s="1"/>
  <c r="R2426" s="1"/>
  <c r="R2710"/>
  <c r="R2711" s="1"/>
  <c r="R2712"/>
  <c r="R2714" s="1"/>
  <c r="R2427"/>
  <c r="R2428" s="1"/>
  <c r="R2429" s="1"/>
  <c r="R2430" s="1"/>
  <c r="R2715"/>
  <c r="R2716" s="1"/>
  <c r="R2431"/>
  <c r="R2432" s="1"/>
  <c r="R2433" s="1"/>
  <c r="R2434" s="1"/>
  <c r="R2435"/>
  <c r="R2436" s="1"/>
  <c r="R2437" s="1"/>
  <c r="R2438" s="1"/>
  <c r="R2717"/>
  <c r="R2718" s="1"/>
  <c r="R2439"/>
  <c r="R2440" s="1"/>
  <c r="R2441" s="1"/>
  <c r="R2442" s="1"/>
  <c r="R2719"/>
  <c r="R2721" s="1"/>
  <c r="R2722"/>
  <c r="R2723" s="1"/>
  <c r="R2443"/>
  <c r="R2444" s="1"/>
  <c r="R2445" s="1"/>
  <c r="R2446" s="1"/>
  <c r="R2724"/>
  <c r="R2725" s="1"/>
  <c r="R2447"/>
  <c r="R2448" s="1"/>
  <c r="R2449" s="1"/>
  <c r="R2450" s="1"/>
  <c r="R2451"/>
  <c r="R2453" s="1"/>
  <c r="R2454" s="1"/>
  <c r="R2455" s="1"/>
  <c r="R2726"/>
  <c r="R2728" s="1"/>
  <c r="R2456"/>
  <c r="R2457" s="1"/>
  <c r="R2458" s="1"/>
  <c r="R2459" s="1"/>
  <c r="R2729"/>
  <c r="R2731" s="1"/>
  <c r="R2732"/>
  <c r="R2733" s="1"/>
  <c r="R2460"/>
  <c r="R2461" s="1"/>
  <c r="R2462" s="1"/>
  <c r="R2463" s="1"/>
  <c r="R2734"/>
  <c r="R2735" s="1"/>
  <c r="R2464"/>
  <c r="R2465" s="1"/>
  <c r="R2466" s="1"/>
  <c r="R2467" s="1"/>
  <c r="R2468"/>
  <c r="R2469" s="1"/>
  <c r="R2470" s="1"/>
  <c r="R2471" s="1"/>
  <c r="R2736"/>
  <c r="R2738" s="1"/>
  <c r="R2472"/>
  <c r="R2473" s="1"/>
  <c r="R2474" s="1"/>
  <c r="R2475" s="1"/>
  <c r="R2739"/>
  <c r="R2740" s="1"/>
  <c r="R2741"/>
  <c r="R2742" s="1"/>
  <c r="R2476"/>
  <c r="R2477" s="1"/>
  <c r="R2478" s="1"/>
  <c r="R2479" s="1"/>
  <c r="R2743"/>
  <c r="R2745" s="1"/>
  <c r="R2480"/>
  <c r="R2481" s="1"/>
  <c r="R2482" s="1"/>
  <c r="R2484" s="1"/>
  <c r="R2485"/>
  <c r="R2486" s="1"/>
  <c r="R2487" s="1"/>
  <c r="R2488" s="1"/>
  <c r="R2747"/>
  <c r="R2748" s="1"/>
  <c r="R2489"/>
  <c r="R2490" s="1"/>
  <c r="R2491" s="1"/>
  <c r="R2492" s="1"/>
  <c r="R2749"/>
  <c r="R2750" s="1"/>
  <c r="R2751"/>
  <c r="R2752" s="1"/>
  <c r="R2493"/>
  <c r="R2494" s="1"/>
  <c r="R2495" s="1"/>
  <c r="R2496" s="1"/>
  <c r="R2753"/>
  <c r="R2755" s="1"/>
  <c r="R2497"/>
  <c r="R2498" s="1"/>
  <c r="R2499" s="1"/>
  <c r="R2500" s="1"/>
  <c r="R2501"/>
  <c r="R2502" s="1"/>
  <c r="R2503" s="1"/>
  <c r="R2504" s="1"/>
  <c r="R2757"/>
  <c r="R2758" s="1"/>
  <c r="R2505"/>
  <c r="R2506" s="1"/>
  <c r="R2507" s="1"/>
  <c r="R2509" s="1"/>
  <c r="R2759"/>
  <c r="R2510"/>
  <c r="R2511" s="1"/>
  <c r="R2512" s="1"/>
  <c r="R2513" s="1"/>
  <c r="R2514"/>
  <c r="R2515" s="1"/>
  <c r="R2516" s="1"/>
  <c r="R2517" s="1"/>
  <c r="R2518"/>
  <c r="R2519" s="1"/>
  <c r="R2520" s="1"/>
  <c r="R2522" s="1"/>
  <c r="R2523"/>
  <c r="R2524" s="1"/>
  <c r="R2525" s="1"/>
  <c r="R2526" s="1"/>
  <c r="R2527"/>
  <c r="R2528" s="1"/>
  <c r="R2529" s="1"/>
  <c r="R2530" s="1"/>
  <c r="R2531"/>
  <c r="R2532" s="1"/>
  <c r="R2533" s="1"/>
  <c r="R2534" s="1"/>
  <c r="R2536"/>
  <c r="R2537" s="1"/>
  <c r="R2538" s="1"/>
  <c r="R2539" s="1"/>
  <c r="R2540"/>
  <c r="R2541" s="1"/>
  <c r="R2542" s="1"/>
  <c r="R2544" s="1"/>
  <c r="R2546"/>
  <c r="R2548" s="1"/>
  <c r="R2549" s="1"/>
  <c r="R2550" s="1"/>
  <c r="R2552"/>
  <c r="R2554" s="1"/>
  <c r="R2555" s="1"/>
  <c r="R2556" s="1"/>
  <c r="R2557"/>
  <c r="R2558" s="1"/>
  <c r="R2559" s="1"/>
  <c r="R2560" s="1"/>
  <c r="R2561"/>
  <c r="R2562" s="1"/>
  <c r="R2563" s="1"/>
  <c r="R2564" s="1"/>
  <c r="R2565"/>
  <c r="R2566" s="1"/>
  <c r="R2567" s="1"/>
</calcChain>
</file>

<file path=xl/comments1.xml><?xml version="1.0" encoding="utf-8"?>
<comments xmlns="http://schemas.openxmlformats.org/spreadsheetml/2006/main">
  <authors>
    <author>Proba</author>
    <author>Сергей</author>
    <author>&lt;&gt;</author>
    <author>andrey</author>
  </authors>
  <commentList>
    <comment ref="A1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 &lt;Номер позиции по смете&gt;
</t>
        </r>
      </text>
    </comment>
    <comment ref="B10" authorId="1">
      <text>
        <r>
          <rPr>
            <sz val="8"/>
            <color indexed="81"/>
            <rFont val="Tahoma"/>
            <family val="2"/>
            <charset val="204"/>
          </rPr>
          <t xml:space="preserve">   &lt;Обоснование (код) позиции&gt;</t>
        </r>
      </text>
    </comment>
    <comment ref="C1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 &lt;Наименование (текстовая часть) расценки&gt;
</t>
        </r>
      </text>
    </comment>
    <comment ref="D1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 &lt;ИТОГО ПЗ по позиции для БИМ&gt;
</t>
        </r>
      </text>
    </comment>
    <comment ref="E10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 &lt;ИТОГО ОЗП по позиции для БИМ&gt;</t>
        </r>
      </text>
    </comment>
    <comment ref="F10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 &lt;ИТОГО ЭММ по позиции для БИМ&gt;</t>
        </r>
      </text>
    </comment>
    <comment ref="G10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  &lt;ИТОГО МАТ по позиции для БИМ&gt;</t>
        </r>
      </text>
    </comment>
    <comment ref="H1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ПЗ по позиции в текущих ценах&gt;
</t>
        </r>
      </text>
    </comment>
    <comment ref="I10" authorId="1">
      <text>
        <r>
          <rPr>
            <sz val="8"/>
            <color indexed="81"/>
            <rFont val="Tahoma"/>
            <family val="2"/>
            <charset val="204"/>
          </rPr>
          <t xml:space="preserve">  =&lt;ИТОГО ОЗП по позиции в текущих ценах&gt;</t>
        </r>
      </text>
    </comment>
    <comment ref="J10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ЭММ по позиции в текущих ценах&gt;</t>
        </r>
      </text>
    </comment>
    <comment ref="K10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МАТ по позиции в текущих ценах&gt;</t>
        </r>
      </text>
    </comment>
    <comment ref="L10" authorId="1">
      <text>
        <r>
          <rPr>
            <sz val="8"/>
            <color indexed="81"/>
            <rFont val="Tahoma"/>
            <family val="2"/>
            <charset val="204"/>
          </rPr>
          <t xml:space="preserve">   =IF(&lt;ИТОГО ПЗ по позиции для БИМ&gt;=0, "-", &lt;ИТОГО ПЗ по позиции в текущих ценах&gt;/&lt;ИТОГО ПЗ по позиции для БИМ&gt;)</t>
        </r>
      </text>
    </comment>
    <comment ref="M10" authorId="1">
      <text>
        <r>
          <rPr>
            <sz val="8"/>
            <color indexed="81"/>
            <rFont val="Tahoma"/>
            <family val="2"/>
            <charset val="204"/>
          </rPr>
          <t xml:space="preserve">   =IF(&lt;ИТОГО ОЗП по позиции для БИМ&gt;=0, "-", Лист1!B2)</t>
        </r>
      </text>
    </comment>
    <comment ref="N10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 =IF(&lt;ИТОГО ЭММ по позиции для БИМ&gt;=0, "-", &lt;ИТОГО ЭММ по позиции в текущих ценах&gt;/&lt;ИТОГО ЭММ по позиции для БИМ&gt;)</t>
        </r>
      </text>
    </comment>
    <comment ref="O10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  =IF(&lt;ИТОГО МАТ по позиции для БИМ&gt;=0, "-", &lt;ИТОГО МАТ по позиции в текущих ценах&gt;/&lt;ИТОГО МАТ по позиции для БИМ&gt;)</t>
        </r>
      </text>
    </comment>
    <comment ref="R10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=IF(ISERROR(VALUE(TRIM(INDIRECT(ADDRESS(ROW()-1, COLUMN(A14)))))), INDIRECT(ADDRESS(ROW()-2, COLUMN(R14)))+1, INDIRECT(ADDRESS(ROW()-1, COLUMN(R14))))&lt;Пустой идентификатор&gt;</t>
        </r>
      </text>
    </comment>
  </commentList>
</comments>
</file>

<file path=xl/comments2.xml><?xml version="1.0" encoding="utf-8"?>
<comments xmlns="http://schemas.openxmlformats.org/spreadsheetml/2006/main">
  <authors>
    <author>Alex</author>
  </authors>
  <commentList>
    <comment ref="C2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ПЗ&gt;</t>
        </r>
      </text>
    </comment>
    <comment ref="D2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ОЗП&gt;</t>
        </r>
      </text>
    </comment>
    <comment ref="E2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ЭМ&gt;</t>
        </r>
      </text>
    </comment>
    <comment ref="F2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МАТ&gt;</t>
        </r>
      </text>
    </comment>
    <comment ref="G2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ПЗ&gt;</t>
        </r>
      </text>
    </comment>
    <comment ref="H2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ОЗП&gt;</t>
        </r>
      </text>
    </comment>
    <comment ref="I2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ЭМ&gt;</t>
        </r>
      </text>
    </comment>
    <comment ref="J2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МАТ&gt;</t>
        </r>
      </text>
    </comment>
  </commentList>
</comments>
</file>

<file path=xl/sharedStrings.xml><?xml version="1.0" encoding="utf-8"?>
<sst xmlns="http://schemas.openxmlformats.org/spreadsheetml/2006/main" count="7033" uniqueCount="5554">
  <si>
    <t xml:space="preserve">РАСЧЕТ ИНДЕКСОВ  </t>
  </si>
  <si>
    <t>(указать квартал, год)</t>
  </si>
  <si>
    <t>прямые затраты</t>
  </si>
  <si>
    <t>оплата труда</t>
  </si>
  <si>
    <t>материалы</t>
  </si>
  <si>
    <t>Стоимость в базовых ценах, руб.</t>
  </si>
  <si>
    <t>Индексы</t>
  </si>
  <si>
    <t>Стоимость в текущих ценах, руб.</t>
  </si>
  <si>
    <t>на</t>
  </si>
  <si>
    <t>№ пп</t>
  </si>
  <si>
    <t>Наименование</t>
  </si>
  <si>
    <t>Номера расценок</t>
  </si>
  <si>
    <t>(указать базисный уровень цен)</t>
  </si>
  <si>
    <t>Индекс по смете</t>
  </si>
  <si>
    <t>Номер раздела</t>
  </si>
  <si>
    <t>Наименование раздела</t>
  </si>
  <si>
    <t>матери-алы</t>
  </si>
  <si>
    <t>эксплуата-ция машин</t>
  </si>
  <si>
    <t>Индекс на ФОТ</t>
  </si>
  <si>
    <t>Раздел 1. Разработка грунта внутри здания</t>
  </si>
  <si>
    <t>ТЕРр51-1-1</t>
  </si>
  <si>
    <t>Разработка грунта внутри здания в: котлованах глубиной до 3 м площадью до 10 м2</t>
  </si>
  <si>
    <t>ТЕРр51-1-2</t>
  </si>
  <si>
    <t>Разработка грунта внутри здания в: котлованах глубиной до 3 м площадью более 10 м2</t>
  </si>
  <si>
    <t>ТЕРр51-1-3</t>
  </si>
  <si>
    <t>Разработка грунта внутри здания в: котлованах глубиной более 3 м площадью до 10 м2</t>
  </si>
  <si>
    <t>ТЕРр51-1-4</t>
  </si>
  <si>
    <t>Разработка грунта внутри здания в: котлованах глубиной более 3 м площадью более 10 м2</t>
  </si>
  <si>
    <t>ТЕРр51-1-5</t>
  </si>
  <si>
    <t>Разработка грунта внутри здания в: траншеях глубиной до 3 м шириной до 1,5 м</t>
  </si>
  <si>
    <t>ТЕРр51-1-6</t>
  </si>
  <si>
    <t>Разработка грунта внутри здания в: траншеях глубиной до 3 м шириной более 1,5 м</t>
  </si>
  <si>
    <t>ТЕРр51-1-7</t>
  </si>
  <si>
    <t>Разработка грунта внутри здания в: траншеях глубиной более 3 м шириной более 1,5 м</t>
  </si>
  <si>
    <t>Раздел 2. Разработка грунта при подводке, смене или усилении фундаментов</t>
  </si>
  <si>
    <t>ТЕРр51-2-1</t>
  </si>
  <si>
    <t>Разработка грунта при подводке, смене или усилении фундаментов, грунты: 1-2 группы, с креплением</t>
  </si>
  <si>
    <t>ТЕРр51-2-2</t>
  </si>
  <si>
    <t>Разработка грунта при подводке, смене или усилении фундаментов, грунты: 3-4 группы, с креплением</t>
  </si>
  <si>
    <t>ТЕРр51-2-3</t>
  </si>
  <si>
    <t>Разработка грунта при подводке, смене или усилении фундаментов, грунты: 1-2 группы, без крепления</t>
  </si>
  <si>
    <t>ТЕРр51-2-4</t>
  </si>
  <si>
    <t>Разработка грунта при подводке, смене или усилении фундаментов, грунты: 3-4 группы, без крепления</t>
  </si>
  <si>
    <t>Раздел 3. Изменение уровня пола в здании</t>
  </si>
  <si>
    <t>ТЕРр51-3-1</t>
  </si>
  <si>
    <t>Изменение уровня пола в здании: подсыпкой грунта</t>
  </si>
  <si>
    <t>ТЕРр51-3-2</t>
  </si>
  <si>
    <t>Изменение уровня пола в здании: выемкой грунта с погрузкой</t>
  </si>
  <si>
    <t>Раздел 4. Рытье ям для установки стоек и столбов</t>
  </si>
  <si>
    <t>ТЕРр51-4-1</t>
  </si>
  <si>
    <t>Рытье ям для установки стоек и столбов глубиной: 0,4 м</t>
  </si>
  <si>
    <t>ТЕРр51-4-2</t>
  </si>
  <si>
    <t>Рытье ям для установки стоек и столбов глубиной: 0,7 м</t>
  </si>
  <si>
    <t>Раздел 5. Механизированная разработка грунта в стесненных условиях</t>
  </si>
  <si>
    <t>ТЕРр51-5-1</t>
  </si>
  <si>
    <t>Механизированная разработка грунта в стеснённых условиях: экскаваторами</t>
  </si>
  <si>
    <t>ТЕРр51-5-2</t>
  </si>
  <si>
    <t>Механизированная разработка грунта в стеснённых условиях: бульдозерами</t>
  </si>
  <si>
    <t>Раздел 6. Погрузка грунта вручную в автомобили-самосвалы с выгрузкой</t>
  </si>
  <si>
    <t>ТЕРр51-6-1</t>
  </si>
  <si>
    <t>Погрузка грунта вручную в автомобили-самосвалы с выгрузкой</t>
  </si>
  <si>
    <t>ТЕРр51</t>
  </si>
  <si>
    <t>Раздел 1. Усиление фундаментов торкретированием</t>
  </si>
  <si>
    <t>ТЕРр52-1-1</t>
  </si>
  <si>
    <t>Усиление фундаментов торкретированием толщиной слоя 10 мм</t>
  </si>
  <si>
    <t>ТЕРр52-1-2</t>
  </si>
  <si>
    <t>На каждые 10 мм увеличения слоя добавлять к расценке 52-1-1</t>
  </si>
  <si>
    <t>Раздел 2. Усиление фундаментов цементацией</t>
  </si>
  <si>
    <t>ТЕРр52-2-1</t>
  </si>
  <si>
    <t>Усиление фундаментов цементацией</t>
  </si>
  <si>
    <t>Раздел 3. Устройство изоляционного слоя в цоколе существующих зданий</t>
  </si>
  <si>
    <t>ТЕРр52-3-1</t>
  </si>
  <si>
    <t>Устройство изоляционного слоя в цоколе существующих зданий при толщине цоколя: в 2 кирпича</t>
  </si>
  <si>
    <t>ТЕРр52-3-2</t>
  </si>
  <si>
    <t>Устройство изоляционного слоя в цоколе существующих зданий при толщине цоколя: в 2,5 кирпича</t>
  </si>
  <si>
    <t>ТЕРр52-3-3</t>
  </si>
  <si>
    <t>Устройство изоляционного слоя в цоколе существующих зданий при толщине цоколя: в 3 кирпича</t>
  </si>
  <si>
    <t>Раздел 4. Устройство кирпичного цоколя существующих зданий</t>
  </si>
  <si>
    <t>ТЕРр52-4-1</t>
  </si>
  <si>
    <t>Устройство кирпичного цоколя существующих зданий толщиной: в 0,5 кирпича</t>
  </si>
  <si>
    <t>ТЕРр52-4-2</t>
  </si>
  <si>
    <t>Устройство кирпичного цоколя существующих зданий толщиной: в 1 кирпич</t>
  </si>
  <si>
    <t>Раздел 5. Устройство кирпичных столбчатых фундаментов</t>
  </si>
  <si>
    <t>ТЕРр52-5-1</t>
  </si>
  <si>
    <t>Устройство кирпичных столбчатых фундаментов</t>
  </si>
  <si>
    <t>Раздел 6. Устройство осадочного шва из просмоленных досок для сопряжения существующих и пристраиваемых фундаментов</t>
  </si>
  <si>
    <t>ТЕРр52-6-1</t>
  </si>
  <si>
    <t>Устройство осадочного шва из просмоленных досок для сопряжения существующих и пристраиваемых фундаментов</t>
  </si>
  <si>
    <t>Раздел 7. Подводка, смена, ремонт и уширение фундаментов</t>
  </si>
  <si>
    <t>ТЕРр52-7-1</t>
  </si>
  <si>
    <t>Подводка под существующие деревянные стены фундаментов: кирпичных</t>
  </si>
  <si>
    <t>ТЕРр52-7-2</t>
  </si>
  <si>
    <t>Подводка под существующие деревянные стены фундаментов: бутовых</t>
  </si>
  <si>
    <t>ТЕРр52-7-3</t>
  </si>
  <si>
    <t>Подводка под существующие кирпичные стены фундаментов: кирпичных</t>
  </si>
  <si>
    <t>ТЕРр52-7-4</t>
  </si>
  <si>
    <t>Подводка под существующие кирпичные стены фундаментов: бутовых</t>
  </si>
  <si>
    <t>ТЕРр52-7-5</t>
  </si>
  <si>
    <t>Подводка под существующие кирпичные стены фундаментов: сборных бетонных</t>
  </si>
  <si>
    <t>ТЕРр52-7-6</t>
  </si>
  <si>
    <t>Подводка под существующие кирпичные стены фундаментов: сборных железобетонных</t>
  </si>
  <si>
    <t>ТЕРр52-7-7</t>
  </si>
  <si>
    <t>Ремонт отдельными местами фундаментов: кирпичных</t>
  </si>
  <si>
    <t>ТЕРр52-7-8</t>
  </si>
  <si>
    <t>Ремонт отдельными местами фундаментов: бутовых</t>
  </si>
  <si>
    <t>ТЕРр52-7-9</t>
  </si>
  <si>
    <t>Уширение фундаментов: кирпичом</t>
  </si>
  <si>
    <t>ТЕРр52-7-10</t>
  </si>
  <si>
    <t>Уширение фундаментов: бутом</t>
  </si>
  <si>
    <t>ТЕРр52-7-11</t>
  </si>
  <si>
    <t>Уширение фундаментов: бетонными блоками</t>
  </si>
  <si>
    <t>Раздел 8. Смена деревянных стульев</t>
  </si>
  <si>
    <t>ТЕРр52-8-1</t>
  </si>
  <si>
    <t>Смена деревянных стульев: на подкладках</t>
  </si>
  <si>
    <t>ТЕРр52-8-2</t>
  </si>
  <si>
    <t>Смена деревянных стульев: на лежнях</t>
  </si>
  <si>
    <t>ТЕРр52-8-3</t>
  </si>
  <si>
    <t>Смена деревянных стульев: на крестовинах</t>
  </si>
  <si>
    <t>Раздел 9. Замена деревянных стульев</t>
  </si>
  <si>
    <t>ТЕРр52-9-1</t>
  </si>
  <si>
    <t>Замена деревянных стульев: на кирпичные столбы</t>
  </si>
  <si>
    <t>ТЕРр52-9-2</t>
  </si>
  <si>
    <t>Замена деревянных стульев: на бетонные столбы</t>
  </si>
  <si>
    <t>ТЕРр52-9-3</t>
  </si>
  <si>
    <t>Замена деревянных стульев: на сборные бетонные или железобетонные столбы</t>
  </si>
  <si>
    <t>Раздел 10. Смена забирки и обшивки деревянного засыпного цоколя</t>
  </si>
  <si>
    <t>ТЕРр52-10-1</t>
  </si>
  <si>
    <t>Смена забирки деревянного засыпного цоколя из досок</t>
  </si>
  <si>
    <t>ТЕРр52-10-2</t>
  </si>
  <si>
    <t>Смена облицовки деревянного засыпного цоколя</t>
  </si>
  <si>
    <t>ТЕРр52-10-3</t>
  </si>
  <si>
    <t>Смена обшивки деревянного засыпного цоколя и забирки</t>
  </si>
  <si>
    <t>Раздел 11. Водоотлив из подвала</t>
  </si>
  <si>
    <t>ТЕРр52-11-1</t>
  </si>
  <si>
    <t>Водоотлив из подвала: ведрами</t>
  </si>
  <si>
    <t>-</t>
  </si>
  <si>
    <t>ТЕРр52-11-2</t>
  </si>
  <si>
    <t>Водоотлив из подвала: ручными насосами</t>
  </si>
  <si>
    <t>ТЕРр52-11-3</t>
  </si>
  <si>
    <t>Водоотлив из подвала: электрическими (механическими) насосами</t>
  </si>
  <si>
    <t>Раздел 12. Устройство прижимной стенки толщиной 1/2 кирпича при ремонте фундаментов</t>
  </si>
  <si>
    <t>ТЕРр52-12-1</t>
  </si>
  <si>
    <t>Устройство прижимной стенки толщиной 1/2 кирпича при ремонте фундаментов</t>
  </si>
  <si>
    <t>Раздел 13. Ремонт оклеечной гидроизоляции подвалов</t>
  </si>
  <si>
    <t>ТЕРр52-13-1</t>
  </si>
  <si>
    <t>Ремонт оклеечной гидроизоляции стен подвалов в 2 слоя</t>
  </si>
  <si>
    <t>ТЕРр52-13-2</t>
  </si>
  <si>
    <t>На каждый последующий слой добавлять или исключать к расценке 52-13-1</t>
  </si>
  <si>
    <t>ТЕРр52-13-3</t>
  </si>
  <si>
    <t>Ремонт оклеечной гидроизоляции полов подвалов в 2 слоя</t>
  </si>
  <si>
    <t>ТЕРр52-13-4</t>
  </si>
  <si>
    <t>На каждый последующий слой добавлять или исключать к расценке 52-13-3</t>
  </si>
  <si>
    <t>Раздел 14. Ремонт обмазочной изоляции фундаментов</t>
  </si>
  <si>
    <t>ТЕРр52-14-1</t>
  </si>
  <si>
    <t>Ремонт обмазочной изоляции фундаментов</t>
  </si>
  <si>
    <t>Раздел 15. Герметизация вводов в подвальное помещение</t>
  </si>
  <si>
    <t>ТЕРр52-15-1</t>
  </si>
  <si>
    <t>Герметизация вводов в подвальное помещение</t>
  </si>
  <si>
    <t>Раздел 16. Заделка подвальных окон</t>
  </si>
  <si>
    <t>ТЕРр52-16-1</t>
  </si>
  <si>
    <t>Заделка подвальных окон: фанерой</t>
  </si>
  <si>
    <t>ТЕРр52-16-2</t>
  </si>
  <si>
    <t>Заделка подвальных окон: железом</t>
  </si>
  <si>
    <t>ТЕРр52-16-3</t>
  </si>
  <si>
    <t>Заделка подвальных окон: кирпичом толщиной в 1 кирпич</t>
  </si>
  <si>
    <t xml:space="preserve">            ТЕРр52</t>
  </si>
  <si>
    <r>
      <t xml:space="preserve">           </t>
    </r>
    <r>
      <rPr>
        <sz val="18"/>
        <rFont val="Arial"/>
        <family val="2"/>
        <charset val="204"/>
      </rPr>
      <t xml:space="preserve"> ТЕРр53</t>
    </r>
  </si>
  <si>
    <t>Раздел 1. Разборка деревянных стен</t>
  </si>
  <si>
    <t>ТЕРр53-1-1</t>
  </si>
  <si>
    <t>Разборка обшивки: неоштукатуренных деревянных стен</t>
  </si>
  <si>
    <t>ТЕРр53-1-2</t>
  </si>
  <si>
    <t>Разборка обшивки: оштукатуренных деревянных стен</t>
  </si>
  <si>
    <t>ТЕРр53-1-3</t>
  </si>
  <si>
    <t>Разборка каркаса деревянных стен: из бревен</t>
  </si>
  <si>
    <t>ТЕРр53-1-4</t>
  </si>
  <si>
    <t>Разборка каркаса деревянных стен: из брусьев</t>
  </si>
  <si>
    <t>ТЕРр53-1-5</t>
  </si>
  <si>
    <t>Разборка засыпного утеплителя деревянных стен</t>
  </si>
  <si>
    <t>ТЕРр53-1-6</t>
  </si>
  <si>
    <t>Разборка бревенчатых: неоштукатуренных стен</t>
  </si>
  <si>
    <t>ТЕРр53-1-7</t>
  </si>
  <si>
    <t>Разборка бревенчатых: оштукатуренных стен</t>
  </si>
  <si>
    <t>ТЕРр53-1-8</t>
  </si>
  <si>
    <t>Разборка брусчатых: неоштукатуренных стен</t>
  </si>
  <si>
    <t>ТЕРр53-1-9</t>
  </si>
  <si>
    <t>Разборка брусчатых: оштукатуренных стен</t>
  </si>
  <si>
    <t>Раздел 2. Прорезка проемов в стенах и перегородках</t>
  </si>
  <si>
    <t>ТЕРр53-3-1</t>
  </si>
  <si>
    <t>Прорезка проемов в стенах и перегородках: из бревен</t>
  </si>
  <si>
    <t>ТЕРр53-3-2</t>
  </si>
  <si>
    <t>Прорезка проемов в стенах и перегородках: из брусьев</t>
  </si>
  <si>
    <t>ТЕРр53-3-3</t>
  </si>
  <si>
    <t>Прорезка проемов в стенах и перегородках: каркасно-обшивных</t>
  </si>
  <si>
    <t>Раздел 3. Заделка проемов в деревянных стенах и перегородках</t>
  </si>
  <si>
    <t>ТЕРр53-4-1</t>
  </si>
  <si>
    <t>Заделка проемов в деревянных стенах и перегородках: из бревен</t>
  </si>
  <si>
    <t>ТЕРр53-4-2</t>
  </si>
  <si>
    <t>Заделка проемов в деревянных стенах и перегородках: из брусьев</t>
  </si>
  <si>
    <t>ТЕРр53-4-3</t>
  </si>
  <si>
    <t>Заделка проемов в деревянных стенах и перегородках: каркасно-обшивных</t>
  </si>
  <si>
    <t>ТЕРр53-4-4</t>
  </si>
  <si>
    <t>Заделка проемов в деревянных стенах и перегородках: из досок, забранных стоймя в обвязке</t>
  </si>
  <si>
    <t>Раздел 4. Ремонт каркасных стен</t>
  </si>
  <si>
    <t>ТЕРр53-5-1</t>
  </si>
  <si>
    <t>Ремонт каркасных стен со сменой: обвязки из бревен</t>
  </si>
  <si>
    <t>ТЕРр53-5-2</t>
  </si>
  <si>
    <t>Ремонт каркасных стен со сменой: обвязки из брусьев</t>
  </si>
  <si>
    <t>ТЕРр53-5-3</t>
  </si>
  <si>
    <t>Ремонт каркасных стен со сменой: стоек и подкосов из бревен</t>
  </si>
  <si>
    <t>ТЕРр53-5-4</t>
  </si>
  <si>
    <t>Ремонт каркасных стен со сменой: стоек и подкосов из брусьев</t>
  </si>
  <si>
    <t>Раздел 5. Добавление утепляющей засыпки</t>
  </si>
  <si>
    <t>ТЕРр53-6-1</t>
  </si>
  <si>
    <t>Добавление утепляющей засыпки</t>
  </si>
  <si>
    <t>Раздел 6. Смена досок чистой обшивки стен</t>
  </si>
  <si>
    <t>ТЕРр53-7-1</t>
  </si>
  <si>
    <t>Смена отдельных досок чистой наружной обшивки стен</t>
  </si>
  <si>
    <t>Раздел 7. Устройство второй обшивки из досок с засыпкой утеплителем</t>
  </si>
  <si>
    <t>ТЕРр53-8-1</t>
  </si>
  <si>
    <t>Устройство второй обшивки из досок с засыпкой утеплителем</t>
  </si>
  <si>
    <t>Раздел 8. Смена венцов в стенах</t>
  </si>
  <si>
    <t>ТЕРр53-9-1</t>
  </si>
  <si>
    <t>Смена венцов в стенах: из бревен окладных диаметром 240 мм</t>
  </si>
  <si>
    <t>ТЕРр53-9-2</t>
  </si>
  <si>
    <t>Смена венцов в стенах: из бревен окладных диаметром 270 мм</t>
  </si>
  <si>
    <t>ТЕРр53-9-3</t>
  </si>
  <si>
    <t>Смена венцов в стенах: из бревен рядовых диаметром 240 мм</t>
  </si>
  <si>
    <t>ТЕРр53-9-4</t>
  </si>
  <si>
    <t>Смена венцов в стенах: из бревен рядовых диаметром 270 мм</t>
  </si>
  <si>
    <t>ТЕРр53-9-5</t>
  </si>
  <si>
    <t>Смена венцов в стенах: из брусьев окладных сечением 200х200 мм</t>
  </si>
  <si>
    <t>ТЕРр53-9-6</t>
  </si>
  <si>
    <t>Смена венцов в стенах: из брусьев окладных сечением 220х220 мм</t>
  </si>
  <si>
    <t>ТЕРр53-9-7</t>
  </si>
  <si>
    <t>Смена венцов в стенах: из брусьев рядовых сечением 200х200 мм</t>
  </si>
  <si>
    <t>ТЕРр53-9-8</t>
  </si>
  <si>
    <t>Смена венцов в стенах: из брусьев рядовых сечением 220х220 мм</t>
  </si>
  <si>
    <t>Раздел 9. Подъем рубленых стен домкратом</t>
  </si>
  <si>
    <t>ТЕРр53-10-1</t>
  </si>
  <si>
    <t>Подъем рубленых стен домкратом</t>
  </si>
  <si>
    <t>Раздел 10. Ремонт конопатки стен</t>
  </si>
  <si>
    <t>ТЕРр53-11-1</t>
  </si>
  <si>
    <t>Ремонт конопатки шва с добавлением пакли</t>
  </si>
  <si>
    <t>Раздел 11. Укрепление деревянных стен</t>
  </si>
  <si>
    <t>ТЕРр53-12-1</t>
  </si>
  <si>
    <t>Укрепление деревянных стен: сжимами из бревен</t>
  </si>
  <si>
    <t>ТЕРр53-12-2</t>
  </si>
  <si>
    <t>Укрепление деревянных стен: сжимами из брусьев</t>
  </si>
  <si>
    <t>ТЕРр53-12-3</t>
  </si>
  <si>
    <t>Укрепление деревянных стен: сжимами из пластин</t>
  </si>
  <si>
    <t>ТЕРр53-12-4</t>
  </si>
  <si>
    <t>Укрепление деревянных стен: подкосами</t>
  </si>
  <si>
    <t>Раздел 12. Облицовка откосов проемов кирпичом при толщине заделки в 1/4 кирпича</t>
  </si>
  <si>
    <t>ТЕРр53-13-1</t>
  </si>
  <si>
    <t>Облицовка откосов проемов кирпичом при толщине заделки в 1/4 кирпича</t>
  </si>
  <si>
    <t>Раздел 13. Заделка трещин в кирпичных стенах</t>
  </si>
  <si>
    <t>ТЕРр53-14-1</t>
  </si>
  <si>
    <t>Заделка трещин в кирпичных стенах: цементным раствором</t>
  </si>
  <si>
    <t>ТЕРр53-14-2</t>
  </si>
  <si>
    <t>Заделка трещин в кирпичных стенах: кирпичом</t>
  </si>
  <si>
    <t>Раздел 14. Ремонт поверхности кирпичных стен</t>
  </si>
  <si>
    <t>ТЕРр53-15-1</t>
  </si>
  <si>
    <t>Ремонт лицевой поверхности наружных кирпичных стен при глубине заделки: в 1/2 кирпича площадью в одном месте до 1 м2</t>
  </si>
  <si>
    <t>ТЕРр53-15-2</t>
  </si>
  <si>
    <t>Ремонт лицевой поверхности наружных кирпичных стен при глубине заделки: в 1/2 кирпича площадью в одном месте более 1 м2</t>
  </si>
  <si>
    <t>ТЕРр53-15-3</t>
  </si>
  <si>
    <t>Ремонт лицевой поверхности наружных кирпичных стен при глубине заделки: в 1 кирпич площадью в одном месте до 1 м2</t>
  </si>
  <si>
    <t>ТЕРр53-15-4</t>
  </si>
  <si>
    <t>Ремонт лицевой поверхности наружных кирпичных стен при глубине заделки: в 1 кирпич площадью в одном месте более 1 м2</t>
  </si>
  <si>
    <t>ТЕРр53-15-5</t>
  </si>
  <si>
    <t>Стесывание неровностей толщиной до 40 мм при ремонте лицевой поверхности наружных кирпичных стен</t>
  </si>
  <si>
    <t>ТЕРр53-15-6</t>
  </si>
  <si>
    <t>Ремонт внутренней поверхности кирпичных стен при глубине заделки: в 1/2 кирпича площадью в одном месте до 1 м2</t>
  </si>
  <si>
    <t>ТЕРр53-15-7</t>
  </si>
  <si>
    <t>Ремонт внутренней поверхности кирпичных стен при глубине заделки: в 1/2 кирпича площадью в одном месте более 1 м2</t>
  </si>
  <si>
    <t>ТЕРр53-15-8</t>
  </si>
  <si>
    <t>Ремонт внутренней поверхности кирпичных стен при глубине заделки: в 1 кирпич площадью в одном месте до 1 м2</t>
  </si>
  <si>
    <t>ТЕРр53-15-9</t>
  </si>
  <si>
    <t>Ремонт внутренней поверхности кирпичных стен при глубине заделки: в 1 кирпич площадью в одном месте более 1 м2</t>
  </si>
  <si>
    <t>ТЕРр53-15-10</t>
  </si>
  <si>
    <t>Стесывание неровностей толщиной до 40 мм при ремонте внутренней поверхности кирпичных стен</t>
  </si>
  <si>
    <t>Раздел 15. Ремонт кладки стен отдельными местами</t>
  </si>
  <si>
    <t>ТЕРр53-16-1</t>
  </si>
  <si>
    <t>Ремонт кирпичной кладки стен отдельными местами</t>
  </si>
  <si>
    <t>ТЕРр53-16-2</t>
  </si>
  <si>
    <t>Ремонт бутовой кладки стен отдельными местами</t>
  </si>
  <si>
    <t>Раздел 16. Ремонт стен из шлакобетонных камней</t>
  </si>
  <si>
    <t>ТЕРр53-17-1</t>
  </si>
  <si>
    <t>Ремонт стен из сплошных шлакобетонных камней</t>
  </si>
  <si>
    <t>ТЕРр53-17-2</t>
  </si>
  <si>
    <t>Ремонт стен из пустотных шлакобетонных камней</t>
  </si>
  <si>
    <t>Раздел 17. Ремонт перемычек</t>
  </si>
  <si>
    <t>ТЕРр53-18-1</t>
  </si>
  <si>
    <t>Перекладка клинчатых кирпичных перемычек</t>
  </si>
  <si>
    <t>ТЕРр53-18-2</t>
  </si>
  <si>
    <t>Устройство монолитных железобетонных перемычек</t>
  </si>
  <si>
    <t>Раздел 18. Смена клинчатой перемычки на брусковую железобетонную</t>
  </si>
  <si>
    <t>ТЕРр53-19-1</t>
  </si>
  <si>
    <t>Смена клинчатой перемычки на брусковую железобетонную: разгрузочную</t>
  </si>
  <si>
    <t>ТЕРр53-19-2</t>
  </si>
  <si>
    <t>Смена клинчатой перемычки на брусковую железобетонную: рядовую</t>
  </si>
  <si>
    <t>Раздел 19. Кладка отдельных участков стен из кирпича и заделка проемов кирпичом</t>
  </si>
  <si>
    <t>ТЕРр53-20-1</t>
  </si>
  <si>
    <t>Кладка отдельных участков из кирпича: наружных простых стен</t>
  </si>
  <si>
    <t>ТЕРр53-20-2</t>
  </si>
  <si>
    <t>Кладка отдельных участков из кирпича: наружных стен средней сложности</t>
  </si>
  <si>
    <t>ТЕРр53-20-3</t>
  </si>
  <si>
    <t>Кладка отдельных участков из кирпича: наружных сложных стен</t>
  </si>
  <si>
    <t>ТЕРр53-20-4</t>
  </si>
  <si>
    <t>Кладка отдельных участков из кирпича: внутренних стен</t>
  </si>
  <si>
    <t>Раздел 20. Ремонт и восстановление герметизации стыков наружных стеновых панелей и расшивка швов стеновых панелей и панелей перекрытий</t>
  </si>
  <si>
    <t>ТЕРр53-21-1</t>
  </si>
  <si>
    <t>Ремонт и восстановление герметизации горизонтальных и вертикальных стыков стеновых панелей прокладками на клее в один ряд</t>
  </si>
  <si>
    <t>ТЕРр53-21-2</t>
  </si>
  <si>
    <t>Ремонт и восстановление герметизации стеновых панелей: минераловатными пакетами, стык горизонтальный</t>
  </si>
  <si>
    <t>ТЕРр53-21-3</t>
  </si>
  <si>
    <t>Ремонт и восстановление герметизации стеновых панелей: минераловатными пакетами, стык вертикальный</t>
  </si>
  <si>
    <t>ТЕРр53-21-4</t>
  </si>
  <si>
    <t>Ремонт и восстановление герметизации стеновых панелей: пенополистиролом, стык горизонтальный</t>
  </si>
  <si>
    <t>ТЕРр53-21-5</t>
  </si>
  <si>
    <t>Ремонт и восстановление герметизации стеновых панелей: пенополистиролом, стык вертикальный</t>
  </si>
  <si>
    <t>ТЕРр53-21-6</t>
  </si>
  <si>
    <t>Ремонт и восстановление герметизации горизонтальных и вертикальных стыков стеновых панелей мастикой: вулканизирующейся тиоколовой или монтажной пеной</t>
  </si>
  <si>
    <t>ТЕРр53-21-7</t>
  </si>
  <si>
    <t>Ремонт и восстановление герметизации горизонтальных и вертикальных стыков стеновых панелей мастикой: герметизирующей нетвердеющей или силиконовыми и акриловыми герметиками</t>
  </si>
  <si>
    <t>ТЕРр53-21-8</t>
  </si>
  <si>
    <t>Ремонт и восстановление герметизации коробок окон и балконных дверей мастикой: вулканизирующейся тиоколовой или монтажной пеной</t>
  </si>
  <si>
    <t>ТЕРр53-21-9</t>
  </si>
  <si>
    <t>Ремонт и восстановление герметизации коробок окон и балконных дверей мастикой: герметизирующей нетвердеющей или силиконовыми и акриловыми герметиками</t>
  </si>
  <si>
    <t>ТЕРр53-21-10</t>
  </si>
  <si>
    <t>Устройство водоотбойной ленты вертикальных стыков</t>
  </si>
  <si>
    <t>ТЕРр53-21-11</t>
  </si>
  <si>
    <t>Устройство водоотводящего фартука вертикальных стыков</t>
  </si>
  <si>
    <t>ТЕРр53-21-12</t>
  </si>
  <si>
    <t>Восстановление солнцезащиты: полимерцементным составом</t>
  </si>
  <si>
    <t>ТЕРр53-21-13</t>
  </si>
  <si>
    <t>Восстановление солнцезащиты: красками ПХВ (бутадионстирольными или кумаронокаучуковыми)</t>
  </si>
  <si>
    <t>ТЕРр53-21-14</t>
  </si>
  <si>
    <t>Устройство чеканки и расшивка швов цокольных панелей с внутренней стороны раствором</t>
  </si>
  <si>
    <t>ТЕРр53-21-15</t>
  </si>
  <si>
    <t>Устройство промазки и расшивка швов панелей перекрытий раствором снизу</t>
  </si>
  <si>
    <t>ТЕРр53-21-16</t>
  </si>
  <si>
    <t>Ремонт и восстановление стыков, облицованных полиэтиленовыми полосами, на поверхностях: горизонтальных</t>
  </si>
  <si>
    <t>ТЕРр53-21-17</t>
  </si>
  <si>
    <t>Ремонт и восстановление стыков, облицованных полиэтиленовыми полосами, на поверхностях: вертикальных</t>
  </si>
  <si>
    <t>ТЕРр53-21-18</t>
  </si>
  <si>
    <t>Ремонт и восстановление стыков, облицованных полиэтиленовыми полосами, на поверхностях: потолочных</t>
  </si>
  <si>
    <t>ТЕРр53-21-19</t>
  </si>
  <si>
    <t>Ремонт и восстановление изоляции шахт лифтов: монтажной пеной</t>
  </si>
  <si>
    <t>ТЕРр53-21-20</t>
  </si>
  <si>
    <t>Ремонт и восстановление изоляции шахт лифтов: прокладками ПРП в два слоя</t>
  </si>
  <si>
    <t>ТЕРр53-21-21</t>
  </si>
  <si>
    <t>Ремонт и восстановление уплотнения стыков прокладками ПРП в 1 ряд в стенах, оконных, дверных и балконных блоках: насухо</t>
  </si>
  <si>
    <t>ТЕРр53-21-22</t>
  </si>
  <si>
    <t>Ремонт и восстановление уплотнения стыков прокладками ПРП в 1 ряд в стенах, оконных, дверных и балконных блоках: на мастике</t>
  </si>
  <si>
    <t>ТЕРр53-21-23</t>
  </si>
  <si>
    <t>Ремонт и восстановление герметизации стыков шириной панельного шва 30 мм наружных стеновых панелей с применением: навесных люлек бутилкаучуковыми и нетвердеющими мастиками с установкой упругой прокладки</t>
  </si>
  <si>
    <t>ТЕРр53-21-24</t>
  </si>
  <si>
    <t>Ремонт и восстановление герметизации стыков шириной панельного шва 30 мм наружных стеновых панелей с применением: канатного метода отверждающими мастиками или герметиками без установки упругой прокладки</t>
  </si>
  <si>
    <t>ТЕРр53-21-25</t>
  </si>
  <si>
    <t>Ремонт и восстановление герметизации стыков шириной панельного шва 30 мм наружных стеновых панелей с применением: канатного метода отверждающими мастиками или герметиками с установкой упругой прокладки</t>
  </si>
  <si>
    <t>ТЕРр53-21-26</t>
  </si>
  <si>
    <t>Ремонт и восстановление герметизации стыков шириной панельного шва 30 мм наружных стеновых панелей с применением: автогидроподъемника отверждающими мастиками или герметиками без установки упругой прокладки</t>
  </si>
  <si>
    <t>ТЕРр53-21-27</t>
  </si>
  <si>
    <t>Ремонт и восстановление герметизации стыков шириной панельного шва 30 мм наружных стеновых панелей с применением: автогидроподъемника отверждающими мастиками или герметиками с установкой упругой прокладки</t>
  </si>
  <si>
    <t>ТЕРр53-21-28</t>
  </si>
  <si>
    <t>Ремонт и восстановление герметизации стыков шириной панельного шва 30 мм наружных стеновых панелей с применением: наружных инвентарных лесов отверждающими мастиками или герметиками без установки упругой прокладки</t>
  </si>
  <si>
    <t>ТЕРр53-21-29</t>
  </si>
  <si>
    <t>Ремонт и восстановление герметизации стыков шириной панельного шва 30 мм наружных стеновых панелей с применением: наружных инвентарных лесов отверждающими мастиками или герметиками с установкой упругой прокладки</t>
  </si>
  <si>
    <t>ТЕРр53-21-30</t>
  </si>
  <si>
    <t>Ремонт и восстановление герметизации стыков шириной панельного шва 30 мм наружных стеновых панелей с применением: навесных люлек отверждающими мастиками или герметиками без установки упругой прокладки</t>
  </si>
  <si>
    <t>ТЕРр53-21-31</t>
  </si>
  <si>
    <t>Ремонт и восстановление герметизации стыков шириной панельного шва 30 мм наружных стеновых панелей с применением: навесных люлек отверждающими мастиками или герметиками с установкой упругой прокладки</t>
  </si>
  <si>
    <t>ТЕРр53-21-32</t>
  </si>
  <si>
    <t>При изменении ширины панельного шва на каждые 10 мм добавлять к расценке: 53-21-24</t>
  </si>
  <si>
    <t>ТЕРр53-21-33</t>
  </si>
  <si>
    <t>При изменении ширины панельного шва на каждые 10 мм добавлять к расценке: 53-21-25</t>
  </si>
  <si>
    <t>ТЕРр53-21-34</t>
  </si>
  <si>
    <t>При изменении ширины панельного шва на каждые 10 мм добавлять к расценке: 53-21-26</t>
  </si>
  <si>
    <t>ТЕРр53-21-35</t>
  </si>
  <si>
    <t>При изменении ширины панельного шва на каждые 10 мм добавлять к расценке: 53-21-27</t>
  </si>
  <si>
    <t>ТЕРр53-21-36</t>
  </si>
  <si>
    <t>При изменении ширины панельного шва на каждые 10 мм добавлять к расценке: 53-21-28</t>
  </si>
  <si>
    <t>ТЕРр53-21-37</t>
  </si>
  <si>
    <t>При изменении ширины панельного шва на каждые 10 мм добавлять к расценке: 53-21-29</t>
  </si>
  <si>
    <t>ТЕРр53-21-38</t>
  </si>
  <si>
    <t>При изменении ширины панельного шва на каждые 10 мм добавлять к расценке: 53-21-30</t>
  </si>
  <si>
    <t>ТЕРр53-21-39</t>
  </si>
  <si>
    <t>При изменении ширины панельного шва на каждые 10 мм добавлять к расценке: 53-21-31</t>
  </si>
  <si>
    <t>ТЕРр53-21-40</t>
  </si>
  <si>
    <t>Ремонт и восстановление герметизации стыков наружных стеновых панелей прокладками "Вилатерм", монтажной пеной и мастикой вулканизирующейся</t>
  </si>
  <si>
    <t>Раздел 21. Временная разгрузка каменных конструкций деревянными стойками из бревен</t>
  </si>
  <si>
    <t>ТЕРр53-22-1</t>
  </si>
  <si>
    <t>Временная разгрузка каменных конструкций деревянными стойками из бревен</t>
  </si>
  <si>
    <t>Раздел 22. Перекладка карнизов</t>
  </si>
  <si>
    <t>ТЕРр53-23-1</t>
  </si>
  <si>
    <t>Перекладка кирпичного карниза при высоте (в рядах): в 4 кирпича</t>
  </si>
  <si>
    <t>ТЕРр53-23-2</t>
  </si>
  <si>
    <t>Перекладка кирпичного карниза при высоте (в рядах): в 6 кирпичей</t>
  </si>
  <si>
    <t>ТЕРр53-23-3</t>
  </si>
  <si>
    <t>Замена кирпичного карниза на сборный железобетонный</t>
  </si>
  <si>
    <t>Раздел 23. Устройство горизонтальной гидроизоляции кирпичных стен ремонтируемых зданий методом инъецирования</t>
  </si>
  <si>
    <t>ТЕРр53-24-1</t>
  </si>
  <si>
    <t>Устройство горизонтальной гидроизоляции кирпичных стен ремонтируемых зданий методом инъецирования при толщине кладки стены: в 1 кирпич</t>
  </si>
  <si>
    <t>ТЕРр53-24-2</t>
  </si>
  <si>
    <t>Устройство горизонтальной гидроизоляции кирпичных стен ремонтируемых зданий методом инъецирования при толщине кладки стены: в 1,5 кирпича</t>
  </si>
  <si>
    <t>ТЕРр53-24-3</t>
  </si>
  <si>
    <t>Устройство горизонтальной гидроизоляции кирпичных стен ремонтируемых зданий методом инъецирования при толщине кладки стены: в 2 кирпича</t>
  </si>
  <si>
    <t>ТЕРр53-24-4</t>
  </si>
  <si>
    <t>Устройство горизонтальной гидроизоляции кирпичных стен ремонтируемых зданий методом инъецирования при толщине кладки стены: в 2,5 кирпича</t>
  </si>
  <si>
    <t>ТЕРр53-24-5</t>
  </si>
  <si>
    <t>Устройство горизонтальной гидроизоляции кирпичных стен ремонтируемых зданий методом инъецирования при толщине кладки стены: в 3 кирпича</t>
  </si>
  <si>
    <t>ТЕРр53-24-6</t>
  </si>
  <si>
    <t>Устройство горизонтальной гидроизоляции кирпичных стен ремонтируемых зданий методом инъецирования при толщине кладки стены: в 4 кирпича</t>
  </si>
  <si>
    <t>Раздел 24. Устройство металлических перемычек в стенах существующих зданий</t>
  </si>
  <si>
    <t>ТЕРр53-25-1</t>
  </si>
  <si>
    <t>Устройство металлических перемычек в стенах существующих зданий</t>
  </si>
  <si>
    <r>
      <t xml:space="preserve">           </t>
    </r>
    <r>
      <rPr>
        <sz val="18"/>
        <rFont val="Arial"/>
        <family val="2"/>
        <charset val="204"/>
      </rPr>
      <t xml:space="preserve"> ТЕРр54</t>
    </r>
  </si>
  <si>
    <t>Раздел 1. Разборка перекрытий по стальным балкам с междубалочным заполнением из бетонных сводиков</t>
  </si>
  <si>
    <t>ТЕРр54-1-1</t>
  </si>
  <si>
    <t>Разборка перекрытий по стальным балкам с междубалочным заполнением из бетонных сводиков</t>
  </si>
  <si>
    <t>Раздел 2. Разборка стальных балок перекрытий</t>
  </si>
  <si>
    <t>ТЕРр54-2-1</t>
  </si>
  <si>
    <t>Разборка стальных балок перекрытий</t>
  </si>
  <si>
    <t>Раздел 3. Разборка подшивки потолков</t>
  </si>
  <si>
    <t>ТЕРр54-3-1</t>
  </si>
  <si>
    <t>Разборка подшивки потолков: чистой из строганных досок</t>
  </si>
  <si>
    <t>ТЕРр54-3-2</t>
  </si>
  <si>
    <t>Разборка подшивки потолков: чистой из фанеры</t>
  </si>
  <si>
    <t>ТЕРр54-3-3</t>
  </si>
  <si>
    <t>Разборка подшивки потолков: оштукатуренной</t>
  </si>
  <si>
    <t>Раздел 4. Ремонт деревянных балок</t>
  </si>
  <si>
    <t>ТЕРр54-4-1</t>
  </si>
  <si>
    <t>Ремонт деревянных балок: с заменой концов</t>
  </si>
  <si>
    <t>ТЕРр54-4-2</t>
  </si>
  <si>
    <t>Ремонт деревянных балок: с заменой черепных брусков</t>
  </si>
  <si>
    <t>ТЕРр54-4-3</t>
  </si>
  <si>
    <t>Ремонт деревянных балок: нашивкой досок</t>
  </si>
  <si>
    <t>Раздел 5. Ремонт деревянных перекрытий со сменой подборов</t>
  </si>
  <si>
    <t>ТЕРр54-5-1</t>
  </si>
  <si>
    <t>Ремонт деревянных перекрытий со сменой подборов: из досок</t>
  </si>
  <si>
    <t>ТЕРр54-5-2</t>
  </si>
  <si>
    <t>Ремонт деревянных перекрытий со сменой подборов: из горбыля, пластин неоштукатуренных</t>
  </si>
  <si>
    <t>ТЕРр54-5-3</t>
  </si>
  <si>
    <t>Ремонт деревянных перекрытий со сменой подборов: из горбыля, пластин оштукатуренных</t>
  </si>
  <si>
    <t>ТЕРр54-5-4</t>
  </si>
  <si>
    <t>Ремонт деревянных перекрытий со сменой подборов: из щитов</t>
  </si>
  <si>
    <t>Раздел 6. Врубка деревянного ригеля между балками</t>
  </si>
  <si>
    <t>ТЕРр54-6-1</t>
  </si>
  <si>
    <t>Врубка деревянного ригеля между балками: при разобранной подшивке</t>
  </si>
  <si>
    <t>ТЕРр54-6-2</t>
  </si>
  <si>
    <t>Врубка деревянного ригеля между балками: при неразобранной подшивке</t>
  </si>
  <si>
    <t>Раздел 7. Смена засыпки перекрытия</t>
  </si>
  <si>
    <t>ТЕРр54-7-1</t>
  </si>
  <si>
    <t>Смена засыпки перекрытия: с укладкой толя</t>
  </si>
  <si>
    <t>ТЕРр54-7-2</t>
  </si>
  <si>
    <t>Смена засыпки перекрытия: со смазкой глиняным раствором</t>
  </si>
  <si>
    <t>Раздел 8. Укладка металлических балок</t>
  </si>
  <si>
    <t>ТЕРр54-8-1</t>
  </si>
  <si>
    <t>Укладка металлических балок в перекрытиях: междуэтажных</t>
  </si>
  <si>
    <t>ТЕРр54-8-2</t>
  </si>
  <si>
    <t>Укладка металлических балок в перекрытиях: чердачных</t>
  </si>
  <si>
    <t>Раздел 9. Укладка плит перекрытий площадью до 0,8 м2 с заделкой швов</t>
  </si>
  <si>
    <t>ТЕРр54-9-1</t>
  </si>
  <si>
    <t>Укладка плит перекрытий площадью до 0,8 м2 с заделкой швов</t>
  </si>
  <si>
    <t>Раздел 10. Установка деревянной стойки под балки или прогоны</t>
  </si>
  <si>
    <t>ТЕРр54-10-1</t>
  </si>
  <si>
    <t>Установка деревянной стойки под балки или прогоны</t>
  </si>
  <si>
    <t>Раздел 11. Установка металлических анкеров на концы деревянных балок</t>
  </si>
  <si>
    <t>ТЕРр54-11-1</t>
  </si>
  <si>
    <t>Установка металлических анкеров на концы деревянных балок</t>
  </si>
  <si>
    <t>Раздел 12. Укрепление существующей подшивки потолка</t>
  </si>
  <si>
    <t>ТЕРр54-12-1</t>
  </si>
  <si>
    <t>Укрепление существующей подшивки потолка</t>
  </si>
  <si>
    <t>Раздел 13. Устранение просадки конца балки на опоре</t>
  </si>
  <si>
    <t>ТЕРр54-13-1</t>
  </si>
  <si>
    <t>Устранение просадки конца балки на опоре</t>
  </si>
  <si>
    <t>Раздел 14. Укрепление концов деревянных балок</t>
  </si>
  <si>
    <t>ТЕРр54-14-1</t>
  </si>
  <si>
    <t>Укрепление концов деревянных балок: у каменной стены при помощи подбалки из бруса сверху или снизу</t>
  </si>
  <si>
    <t>ТЕРр54-14-2</t>
  </si>
  <si>
    <t>Укрепление концов деревянных балок: у каменной стены при помощи коротыша, заделываемого в стену</t>
  </si>
  <si>
    <t>ТЕРр54-14-3</t>
  </si>
  <si>
    <t>Укрепление концов деревянных балок: у рубленой стены при помощи коротыша на болтах к стене</t>
  </si>
  <si>
    <t>Раздел 15. Укладка сборных железобетонных настилов перекрытия на существующие каменные стены</t>
  </si>
  <si>
    <t>ТЕРр54-15-1</t>
  </si>
  <si>
    <t>Укладка сборных железобетонных настилов перекрытия на существующие каменные стены</t>
  </si>
  <si>
    <r>
      <t xml:space="preserve">            </t>
    </r>
    <r>
      <rPr>
        <sz val="18"/>
        <rFont val="Arial"/>
        <family val="2"/>
        <charset val="204"/>
      </rPr>
      <t xml:space="preserve"> ТЕРр55</t>
    </r>
  </si>
  <si>
    <t>Раздел 1. Смена или переборка оштукатуренных перегородок из досок</t>
  </si>
  <si>
    <t>ТЕРр55-1-1</t>
  </si>
  <si>
    <t>Смена или переборка оштукатуренных перегородок из досок, забранных в обвязки, с добавлением новых досок: до 10%</t>
  </si>
  <si>
    <t>ТЕРр55-1-2</t>
  </si>
  <si>
    <t>Смена или переборка оштукатуренных перегородок из досок, забранных в обвязки, с добавлением новых досок: до 25%</t>
  </si>
  <si>
    <t>ТЕРр55-1-3</t>
  </si>
  <si>
    <t>Смена или переборка оштукатуренных перегородок из досок, забранных в обвязки, с добавлением новых досок: до 50%</t>
  </si>
  <si>
    <t>ТЕРр55-1-4</t>
  </si>
  <si>
    <t>Смена или переборка оштукатуренных каркасно-обшивных перегородок без засыпки с добавлением новых досок: до 10%</t>
  </si>
  <si>
    <t>ТЕРр55-1-5</t>
  </si>
  <si>
    <t>Смена или переборка оштукатуренных каркасно-обшивных перегородок без засыпки с добавлением новых досок: до 25%</t>
  </si>
  <si>
    <t>ТЕРр55-1-6</t>
  </si>
  <si>
    <t>Смена или переборка оштукатуренных каркасно-обшивных перегородок без засыпки с добавлением новых досок: до 50%</t>
  </si>
  <si>
    <t>Раздел 2. Перестановка филенчатых перегородок</t>
  </si>
  <si>
    <t>ТЕРр55-2-1</t>
  </si>
  <si>
    <t>Перестановка филенчатых перегородок</t>
  </si>
  <si>
    <t>Раздел 3. Смена отдельных участков перегородок из стеклоблоков</t>
  </si>
  <si>
    <t>ТЕРр55-3-1</t>
  </si>
  <si>
    <t>Смена отдельных участков перегородок из стеклоблоков</t>
  </si>
  <si>
    <t>Раздел 4. Установка перегородок из гипсовых пазогребневых плит по технологии «Knauf»</t>
  </si>
  <si>
    <t>ТЕРр55-4-1</t>
  </si>
  <si>
    <t>Установка перегородок из гипсовых пазогребневых плит по технологии «Knauf»: в 1 слой при высоте этажа до 4 м</t>
  </si>
  <si>
    <t>ТЕРр55-4-2</t>
  </si>
  <si>
    <t>Установка перегородок из гипсовых пазогребневых плит по технологии «Knauf»: в 1 слой при высоте этажа свыше 4 м</t>
  </si>
  <si>
    <t>ТЕРр55-4-3</t>
  </si>
  <si>
    <t>Установка перегородок из гипсовых пазогребневых плит по технологии «Knauf»: в 2 слоя при высоте этажа до 4 м</t>
  </si>
  <si>
    <t>ТЕРр55-4-4</t>
  </si>
  <si>
    <t>Установка перегородок из гипсовых пазогребневых плит по технологии «Knauf»: в 2 слоя при высоте этажа свыше 4 м</t>
  </si>
  <si>
    <t>Раздел 5. Разборка кирпичных перегородок на отдельные кирпичи</t>
  </si>
  <si>
    <t>ТЕРр55-5-1</t>
  </si>
  <si>
    <t>Разборка кирпичных перегородок на отдельные кирпичи</t>
  </si>
  <si>
    <t>Раздел 6. Пробивка проемов в перегородках со сплошным выравниванием откосов</t>
  </si>
  <si>
    <t>ТЕРр55-6-1</t>
  </si>
  <si>
    <t>Пробивка проемов со сплошным выравниванием откосов в перегородках: железобетонных</t>
  </si>
  <si>
    <t>ТЕРр55-6-2</t>
  </si>
  <si>
    <t>Пробивка проемов со сплошным выравниванием откосов в перегородках: кирпичных</t>
  </si>
  <si>
    <t>Раздел 7. Заделка щелей в верхней части перегородок</t>
  </si>
  <si>
    <t>ТЕРр55-7-1</t>
  </si>
  <si>
    <t>Заделка щелей в верхней части перегородок</t>
  </si>
  <si>
    <t xml:space="preserve">             ТЕРр56</t>
  </si>
  <si>
    <t>Раздел 1. Демонтаж оконных коробок</t>
  </si>
  <si>
    <t>ТЕРр56-1-1</t>
  </si>
  <si>
    <t>Демонтаж оконных коробок: в каменных стенах с отбивкой штукатурки в откосах</t>
  </si>
  <si>
    <t>ТЕРр56-1-2</t>
  </si>
  <si>
    <t>Демонтаж оконных коробок: в каменных стенах с выломкой четвертей в кладке</t>
  </si>
  <si>
    <t>ТЕРр56-1-3</t>
  </si>
  <si>
    <t>Демонтаж оконных коробок: в рубленых стенах</t>
  </si>
  <si>
    <t>Раздел 2. Снятие оконных переплетов</t>
  </si>
  <si>
    <t>ТЕРр56-2-1</t>
  </si>
  <si>
    <t>Снятие оконных переплетов: неостекленных</t>
  </si>
  <si>
    <t>ТЕРр56-2-2</t>
  </si>
  <si>
    <t>Снятие оконных переплетов: остекленных</t>
  </si>
  <si>
    <t>Раздел 3. Снятие подоконных досок</t>
  </si>
  <si>
    <t>ТЕРр56-3-1</t>
  </si>
  <si>
    <t>Снятие подоконных досок: бетонных и мозаичных</t>
  </si>
  <si>
    <t>ТЕРр56-3-2</t>
  </si>
  <si>
    <t>Снятие подоконных досок: деревянных в каменных зданиях</t>
  </si>
  <si>
    <t>ТЕРр56-3-3</t>
  </si>
  <si>
    <t>Снятие подоконных досок: деревянных в деревянных зданиях</t>
  </si>
  <si>
    <t>Раздел 4. Ремонт оконных коробок и колод</t>
  </si>
  <si>
    <t>ТЕРр56-4-1</t>
  </si>
  <si>
    <t>Ремонт оконных коробок: в каменных стенах при одном переплете</t>
  </si>
  <si>
    <t>ТЕРр56-4-2</t>
  </si>
  <si>
    <t>Ремонт оконных коробок: в каменных стенах при двух переплетах</t>
  </si>
  <si>
    <t>ТЕРр56-4-3</t>
  </si>
  <si>
    <t>Ремонт оконных коробок: в рубленых и брусчатых стенах</t>
  </si>
  <si>
    <t>Раздел 5. Ремонт оконных переплетов</t>
  </si>
  <si>
    <t>ТЕРр56-5-1</t>
  </si>
  <si>
    <t>Ремонт оконных переплетов с заменой брусков: из профилированных заготовок</t>
  </si>
  <si>
    <t>ТЕРр56-5-2</t>
  </si>
  <si>
    <t>Ремонт оконных переплетов с заменой брусков: с изготовлением элементов по размеру и профилю</t>
  </si>
  <si>
    <t>Раздел 6. Ремонт форточек</t>
  </si>
  <si>
    <t>ТЕРр56-6-1</t>
  </si>
  <si>
    <t>Ремонт форточек</t>
  </si>
  <si>
    <t>Раздел 7. Устройство форточек в оконных переплетах</t>
  </si>
  <si>
    <t>ТЕРр56-7-1</t>
  </si>
  <si>
    <t>Устройство форточек в оконных переплетах: остекленных спаренных</t>
  </si>
  <si>
    <t>ТЕРр56-7-2</t>
  </si>
  <si>
    <t>Устройство форточек в оконных переплетах: остекленных створных</t>
  </si>
  <si>
    <t>ТЕРр56-7-3</t>
  </si>
  <si>
    <t>Устройство форточек в оконных переплетах: неостекленных</t>
  </si>
  <si>
    <t>Раздел 8. Установка неостекленных оконных переплетов в готовые коробки</t>
  </si>
  <si>
    <t>ТЕРр56-8-1</t>
  </si>
  <si>
    <t>Установка неостекленных оконных переплетов: створных</t>
  </si>
  <si>
    <t>ТЕРр56-8-2</t>
  </si>
  <si>
    <t>Установка неостекленных оконных переплетов: глухих</t>
  </si>
  <si>
    <t>ТЕРр56-8-3</t>
  </si>
  <si>
    <t>Установка неостекленных оконных переплетов: форточек</t>
  </si>
  <si>
    <t>Раздел 9. Демонтаж дверных коробок</t>
  </si>
  <si>
    <t>ТЕРр56-9-1</t>
  </si>
  <si>
    <t>Демонтаж дверных коробок: в каменных стенах с отбивкой штукатурки в откосах</t>
  </si>
  <si>
    <t>ТЕРр56-9-2</t>
  </si>
  <si>
    <t>Демонтаж дверных коробок: в каменных стенах с выломкой четвертей в кладке</t>
  </si>
  <si>
    <t>ТЕРр56-9-3</t>
  </si>
  <si>
    <t>Демонтаж дверных коробок: в деревянных стенах рубленных</t>
  </si>
  <si>
    <t>ТЕРр56-9-4</t>
  </si>
  <si>
    <t>Демонтаж дверных коробок: в деревянных стенах каркасных и в перегородках</t>
  </si>
  <si>
    <t>Раздел 10. Снятие дверных полотен</t>
  </si>
  <si>
    <t>ТЕРр56-10-1</t>
  </si>
  <si>
    <t>Снятие дверных полотен</t>
  </si>
  <si>
    <t>Раздел 11. Снятие наличников</t>
  </si>
  <si>
    <t>ТЕРр56-11-1</t>
  </si>
  <si>
    <t>Снятие наличников</t>
  </si>
  <si>
    <t>Раздел 12. Смена дверных и оконных приборов</t>
  </si>
  <si>
    <t>ТЕРр56-12-1</t>
  </si>
  <si>
    <t>Смена дверных приборов: петли</t>
  </si>
  <si>
    <t>ТЕРр56-12-2</t>
  </si>
  <si>
    <t>Смена дверных приборов: шпингалеты</t>
  </si>
  <si>
    <t>ТЕРр56-12-3</t>
  </si>
  <si>
    <t>Смена дверных приборов: ручки-скобы</t>
  </si>
  <si>
    <t>ТЕРр56-12-4</t>
  </si>
  <si>
    <t>Смена дверных приборов: ручки-кнопки</t>
  </si>
  <si>
    <t>ТЕРр56-12-5</t>
  </si>
  <si>
    <t>Смена дверных приборов: замки врезные</t>
  </si>
  <si>
    <t>ТЕРр56-12-6</t>
  </si>
  <si>
    <t>Смена дверных приборов: замки накладные</t>
  </si>
  <si>
    <t>ТЕРр56-12-7</t>
  </si>
  <si>
    <t>Смена дверных приборов: пружины</t>
  </si>
  <si>
    <t>ТЕРр56-12-8</t>
  </si>
  <si>
    <t>Смена дверных приборов: задвижки</t>
  </si>
  <si>
    <t>ТЕРр56-12-9</t>
  </si>
  <si>
    <t>Смена дверных приборов: щеколды</t>
  </si>
  <si>
    <t>ТЕРр56-12-10</t>
  </si>
  <si>
    <t>Смена оконных приборов: петли</t>
  </si>
  <si>
    <t>ТЕРр56-12-11</t>
  </si>
  <si>
    <t>Смена оконных приборов: ручки</t>
  </si>
  <si>
    <t>ТЕРр56-12-12</t>
  </si>
  <si>
    <t>Смена оконных приборов: остановы</t>
  </si>
  <si>
    <t>ТЕРр56-12-13</t>
  </si>
  <si>
    <t>Смена оконных приборов: фрамужные приборы</t>
  </si>
  <si>
    <t>ТЕРр56-12-14</t>
  </si>
  <si>
    <t>Смена оконных приборов: петли форточные</t>
  </si>
  <si>
    <t>ТЕРр56-12-15</t>
  </si>
  <si>
    <t>Смена оконных приборов: завертки форточные</t>
  </si>
  <si>
    <t>ТЕРр56-12-16</t>
  </si>
  <si>
    <t>Смена оконных приборов: задвижки</t>
  </si>
  <si>
    <t>Раздел 13. Ремонт дверных коробок</t>
  </si>
  <si>
    <t>ТЕРр56-13-1</t>
  </si>
  <si>
    <t>Ремонт дверных коробок узких: в каменных стенах без снятия полотен</t>
  </si>
  <si>
    <t>ТЕРр56-13-2</t>
  </si>
  <si>
    <t>Ремонт дверных коробок узких: в каменных стенах со снятием полотен</t>
  </si>
  <si>
    <t>ТЕРр56-13-3</t>
  </si>
  <si>
    <t>Ремонт дверных коробок узких: в деревянных стенах без снятия полотен</t>
  </si>
  <si>
    <t>ТЕРр56-13-4</t>
  </si>
  <si>
    <t>Ремонт дверных коробок узких: в деревянных стенах со снятием полотен</t>
  </si>
  <si>
    <t>ТЕРр56-13-5</t>
  </si>
  <si>
    <t>Ремонт дверных коробок широких в каменных стенах: без снятия полотен</t>
  </si>
  <si>
    <t>ТЕРр56-13-6</t>
  </si>
  <si>
    <t>Ремонт дверных коробок широких в каменных стенах: со снятием полотен</t>
  </si>
  <si>
    <t>ТЕРр56-13-7</t>
  </si>
  <si>
    <t>Ремонт дверных коробок широких в каменных стенах: выправка, укрепление и пристрожка четвертей</t>
  </si>
  <si>
    <t>Раздел 14. Перевязка дверных полотен</t>
  </si>
  <si>
    <t>ТЕРр56-14-1</t>
  </si>
  <si>
    <t>Перевязка дверного полотна с уменьшением размера: по высоте</t>
  </si>
  <si>
    <t>ТЕРр56-14-2</t>
  </si>
  <si>
    <t>Перевязка дверного полотна с уменьшением размера: по ширине</t>
  </si>
  <si>
    <t>ТЕРр56-14-3</t>
  </si>
  <si>
    <t>Перевязка дверного полотна с уменьшением размера: по высоте и ширине</t>
  </si>
  <si>
    <t>Раздел 15. Ремонт дверных полотен</t>
  </si>
  <si>
    <t>ТЕРр56-15-1</t>
  </si>
  <si>
    <t>Ремонт дверных полотен со сменой брусков обвязки: горизонтальных на 2 сопряжения верхних</t>
  </si>
  <si>
    <t>ТЕРр56-15-2</t>
  </si>
  <si>
    <t>Ремонт дверных полотен со сменой брусков обвязки: горизонтальных на 2 сопряжения нижних</t>
  </si>
  <si>
    <t>ТЕРр56-15-3</t>
  </si>
  <si>
    <t>Ремонт дверных полотен со сменой брусков обвязки: вертикальных с числом сопряжений 2</t>
  </si>
  <si>
    <t>ТЕРр56-15-4</t>
  </si>
  <si>
    <t>Ремонт дверных полотен со сменой брусков обвязки: вертикальных с числом сопряжений 3</t>
  </si>
  <si>
    <t>ТЕРр56-15-5</t>
  </si>
  <si>
    <t>Ремонт дверных полотен со сменой брусков обвязки: вертикальных с числом сопряжений 4</t>
  </si>
  <si>
    <t>Раздел 16. Ремонт калевки дверных полотен</t>
  </si>
  <si>
    <t>ТЕРр56-16-1</t>
  </si>
  <si>
    <t>Ремонт калевки дверного полотна</t>
  </si>
  <si>
    <t>Раздел 17. Ремонт порогов</t>
  </si>
  <si>
    <t>ТЕРр56-17-1</t>
  </si>
  <si>
    <t>Ремонт порогов шириной: 100 мм</t>
  </si>
  <si>
    <t>ТЕРр56-17-2</t>
  </si>
  <si>
    <t>Ремонт порогов шириной: до 150 мм</t>
  </si>
  <si>
    <t>Раздел 18. Укрепление оконных и дверных коробок</t>
  </si>
  <si>
    <t>ТЕРр56-18-1</t>
  </si>
  <si>
    <t>Укрепление оконных и дверных коробок: с конопаткой</t>
  </si>
  <si>
    <t>ТЕРр56-18-2</t>
  </si>
  <si>
    <t>Укрепление оконных и дверных коробок: без конопатки</t>
  </si>
  <si>
    <t>Раздел 19. Обивка дверей дерматином</t>
  </si>
  <si>
    <t>ТЕРр56-19-1</t>
  </si>
  <si>
    <t>Обивка дверей дерматином</t>
  </si>
  <si>
    <t>Раздел 20. Ремонт ворот и калиток</t>
  </si>
  <si>
    <t>ТЕРр56-20-1</t>
  </si>
  <si>
    <t>Ремонт калиток</t>
  </si>
  <si>
    <t>ТЕРр56-20-2</t>
  </si>
  <si>
    <t>Ремонт ворот</t>
  </si>
  <si>
    <t>Раздел 21. Установка дверных полотен</t>
  </si>
  <si>
    <t>ТЕРр56-21-1</t>
  </si>
  <si>
    <t>Установка дверных полотен: наружных кроме балконных</t>
  </si>
  <si>
    <t>ТЕРр56-21-2</t>
  </si>
  <si>
    <t>Установка дверных полотен: наружных балконных спаренных</t>
  </si>
  <si>
    <t>ТЕРр56-21-3</t>
  </si>
  <si>
    <t>Установка дверных полотен: наружных балконных без фрамуг</t>
  </si>
  <si>
    <t>ТЕРр56-21-4</t>
  </si>
  <si>
    <t>Установка дверных полотен: наружных балконных раздельных с фрамугами</t>
  </si>
  <si>
    <t>ТЕРр56-21-5</t>
  </si>
  <si>
    <t>Установка дверных полотен: внутренних межкомнатных</t>
  </si>
  <si>
    <t>ТЕРр56-21-6</t>
  </si>
  <si>
    <t>Установка дверных полотен: внутренних в санузлах, кухонных, шкафных, антресольных</t>
  </si>
  <si>
    <t>Раздел 22. Навеска плотничных дверей</t>
  </si>
  <si>
    <t>ТЕРр56-22-1</t>
  </si>
  <si>
    <t>Навеска плотничных дверей: на шпонках или в наконечник при числе створок 1</t>
  </si>
  <si>
    <t>ТЕРр56-22-2</t>
  </si>
  <si>
    <t>Навеска плотничных дверей: на шпонках или в наконечник при числе створок 2</t>
  </si>
  <si>
    <t>ТЕРр56-22-3</t>
  </si>
  <si>
    <t>Навеска плотничных дверей: на планках при числе створок 1</t>
  </si>
  <si>
    <t>ТЕРр56-22-4</t>
  </si>
  <si>
    <t>Навеска плотничных дверей: на планках при числе створок 2</t>
  </si>
  <si>
    <t>ТЕРр56-22-5</t>
  </si>
  <si>
    <t>Навеска плотничных дверей: на качающихся петлях</t>
  </si>
  <si>
    <t>Раздел 23. Обрамление проемов угловой сталью</t>
  </si>
  <si>
    <t>ТЕРр56-23-1</t>
  </si>
  <si>
    <t>Обрамление проемов угловой сталью</t>
  </si>
  <si>
    <t>Раздел 24. Замена в оконных проемах элементов стеклопрофилита</t>
  </si>
  <si>
    <t>ТЕРр56-24-1</t>
  </si>
  <si>
    <t>Замена в оконных проемах элементов стеклопрофилита</t>
  </si>
  <si>
    <t>Раздел 1. Разборка оснований покрытия полов</t>
  </si>
  <si>
    <t>ТЕРр57-1-1</t>
  </si>
  <si>
    <t>Разборка оснований покрытия полов: кирпичных столбиков под лаги</t>
  </si>
  <si>
    <t>ТЕРр57-1-2</t>
  </si>
  <si>
    <t>Разборка оснований покрытия полов: лаг из досок и брусков</t>
  </si>
  <si>
    <t>ТЕРр57-1-3</t>
  </si>
  <si>
    <t>Разборка оснований покрытия полов: простильных полов</t>
  </si>
  <si>
    <t>ТЕРр57-1-4</t>
  </si>
  <si>
    <t>Разборка оснований покрытия полов: дощатых оснований щитового паркета</t>
  </si>
  <si>
    <t>Раздел 2. Разборка покрытий полов</t>
  </si>
  <si>
    <t>ТЕРр57-2-1</t>
  </si>
  <si>
    <t>Разборка покрытий полов: из линолеума и релина</t>
  </si>
  <si>
    <t>ТЕРр57-2-2</t>
  </si>
  <si>
    <t>Разборка покрытий полов: из плиток поливинилхлоридных</t>
  </si>
  <si>
    <t>ТЕРр57-2-3</t>
  </si>
  <si>
    <t>Разборка покрытий полов: из керамических плиток</t>
  </si>
  <si>
    <t>ТЕРр57-2-4</t>
  </si>
  <si>
    <t>Разборка покрытий полов: цементных</t>
  </si>
  <si>
    <t>ТЕРр57-2-5</t>
  </si>
  <si>
    <t>Разборка покрытий полов: из древесностружечных плит в один слой</t>
  </si>
  <si>
    <t>ТЕРр57-2-6</t>
  </si>
  <si>
    <t>Разборка покрытий полов: из древесностружечных плит в два слоя</t>
  </si>
  <si>
    <t>ТЕРр57-2-7</t>
  </si>
  <si>
    <t>Разборка покрытий полов: из древесноволокнистых плит</t>
  </si>
  <si>
    <t>Раздел 3. Разборка плинтусов</t>
  </si>
  <si>
    <t>ТЕРр57-3-1</t>
  </si>
  <si>
    <t>Разборка плинтусов: деревянных и из пластмассовых материалов</t>
  </si>
  <si>
    <t>ТЕРр57-3-2</t>
  </si>
  <si>
    <t>Разборка плинтусов: цементных и из керамической плитки</t>
  </si>
  <si>
    <t>Раздел 4. Смена и перестилка дощатых покрытий полов</t>
  </si>
  <si>
    <t>ТЕРр57-4-1</t>
  </si>
  <si>
    <t>Перестилка дощатых полов не крашеных</t>
  </si>
  <si>
    <t>ТЕРр57-4-2</t>
  </si>
  <si>
    <t>Добавлять к расценке 57-4-1 при крашеных полах</t>
  </si>
  <si>
    <t>ТЕРр57-4-3</t>
  </si>
  <si>
    <t>Добавлять к расценке 57-4-1 при площади пола до 5 м2</t>
  </si>
  <si>
    <t>ТЕРр57-4-4</t>
  </si>
  <si>
    <t>Смена дощатых полов с добавлением новых досок: до 25%</t>
  </si>
  <si>
    <t>ТЕРр57-4-5</t>
  </si>
  <si>
    <t>Смена дощатых полов с добавлением новых досок: до 50%</t>
  </si>
  <si>
    <t>ТЕРр57-4-6</t>
  </si>
  <si>
    <t>Добавлять к расценке 57-4-4 при крашеных полах</t>
  </si>
  <si>
    <t>ТЕРр57-4-7</t>
  </si>
  <si>
    <t>Добавлять к расценке 57-4-4 при площади пола до 5 м2</t>
  </si>
  <si>
    <t>ТЕРр57-4-8</t>
  </si>
  <si>
    <t>Добавлять к расценке 57-4-5 при крашеных полах</t>
  </si>
  <si>
    <t>ТЕРр57-4-9</t>
  </si>
  <si>
    <t>Добавлять к расценке 57-4-5 при площади пола до 5 м2</t>
  </si>
  <si>
    <t>ТЕРр57-4-10</t>
  </si>
  <si>
    <t>Выравнивание лаг с изготовлением прокладок</t>
  </si>
  <si>
    <t>Раздел 5. Ремонт дощатых покрытий</t>
  </si>
  <si>
    <t>ТЕРр57-5-1</t>
  </si>
  <si>
    <t>Ремонт дощатых покрытий, сплачивание со вставкой реек</t>
  </si>
  <si>
    <t>ТЕРр57-5-2</t>
  </si>
  <si>
    <t>Смена досок в полах до 3 шт. в одном месте</t>
  </si>
  <si>
    <t>Раздел 6. Острожка и циклевка полов, бывших в эксплуатации</t>
  </si>
  <si>
    <t>ТЕРр57-6-1</t>
  </si>
  <si>
    <t>Острожка провесов дощатых покрытий площадью: до 5 м2</t>
  </si>
  <si>
    <t>ТЕРр57-6-2</t>
  </si>
  <si>
    <t>Острожка провесов дощатых покрытий площадью: свыше 5 м2</t>
  </si>
  <si>
    <t>ТЕРр57-6-3</t>
  </si>
  <si>
    <t>Острожка дощатых покрытий площадью: до 5 м2</t>
  </si>
  <si>
    <t>ТЕРр57-6-4</t>
  </si>
  <si>
    <t>Острожка дощатых покрытий площадью: свыше 5 м2</t>
  </si>
  <si>
    <t>ТЕРр57-6-5</t>
  </si>
  <si>
    <t>Острожка и циклевка паркетных полов</t>
  </si>
  <si>
    <t>ТЕРр57-6-6</t>
  </si>
  <si>
    <t>Циклевка паркетных полов</t>
  </si>
  <si>
    <t>Раздел 7. Ремонт покрытий из штучного паркета</t>
  </si>
  <si>
    <t>ТЕРр57-7-1</t>
  </si>
  <si>
    <t>Ремонт покрытий из штучного паркета: на гвоздях площадью в одном месте до 5 планок</t>
  </si>
  <si>
    <t>ТЕРр57-7-2</t>
  </si>
  <si>
    <t>Ремонт покрытий из штучного паркета: на гвоздях площадью в одном месте до 0,5 м2</t>
  </si>
  <si>
    <t>ТЕРр57-7-3</t>
  </si>
  <si>
    <t>Ремонт покрытий из штучного паркета: на гвоздях площадью в одном месте до 1 м2</t>
  </si>
  <si>
    <t>ТЕРр57-7-4</t>
  </si>
  <si>
    <t>Ремонт покрытий из штучного паркета: на мастике площадью в одном месте до 5 планок</t>
  </si>
  <si>
    <t>ТЕРр57-7-5</t>
  </si>
  <si>
    <t>Ремонт покрытий из штучного паркета: на мастике площадью в одном месте до 0,5 м2</t>
  </si>
  <si>
    <t>ТЕРр57-7-6</t>
  </si>
  <si>
    <t>Ремонт покрытий из штучного паркета: на мастике площадью в одном месте до 1 м2</t>
  </si>
  <si>
    <t>Раздел 8. Смена простильных дощатых полов</t>
  </si>
  <si>
    <t>ТЕРр57-8-1</t>
  </si>
  <si>
    <t>Смена простильных дощатых полов: с добавлением новых досок до 25%</t>
  </si>
  <si>
    <t>ТЕРр57-8-2</t>
  </si>
  <si>
    <t>Смена простильных дощатых полов: с добавлением новых досок до 50%</t>
  </si>
  <si>
    <t>ТЕРр57-8-3</t>
  </si>
  <si>
    <t>Смена простильных дощатых полов: с полной сменой досок</t>
  </si>
  <si>
    <t>Раздел 9. Ремонт покрытий из плиток поливинилхлоридных</t>
  </si>
  <si>
    <t>ТЕРр57-9-1</t>
  </si>
  <si>
    <t>Ремонт покрытий из плиток поливинилхлоридных размером: 200х200 мм</t>
  </si>
  <si>
    <t>ТЕРр57-9-2</t>
  </si>
  <si>
    <t>Ремонт покрытий из плиток поливинилхлоридных размером: 300х300 мм</t>
  </si>
  <si>
    <t>Раздел 10. Заделка выбоин в полах</t>
  </si>
  <si>
    <t>ТЕРр57-10-1</t>
  </si>
  <si>
    <t>Заделка выбоин в полах: цементных площадью до 0,25 м2</t>
  </si>
  <si>
    <t>ТЕРр57-10-2</t>
  </si>
  <si>
    <t>Заделка выбоин в полах: цементных площадью до 0,5 м2</t>
  </si>
  <si>
    <t>ТЕРр57-10-3</t>
  </si>
  <si>
    <t>Заделка выбоин в полах: цементных площадью до 1,0 м2</t>
  </si>
  <si>
    <t>ТЕРр57-10-4</t>
  </si>
  <si>
    <t>Заделка выбоин в полах: мозаичных площадью до 0,25 м2</t>
  </si>
  <si>
    <t>ТЕРр57-10-5</t>
  </si>
  <si>
    <t>Заделка выбоин в полах: мозаичных площадью до 0,5 м2</t>
  </si>
  <si>
    <t>ТЕРр57-10-6</t>
  </si>
  <si>
    <t>Заделка выбоин в полах: мозаичных площадью до 1,0 м2</t>
  </si>
  <si>
    <t>ТЕРр57-10-7</t>
  </si>
  <si>
    <t>Заделка выбоин в полах: асфальтовых площадью до 0,25 м2</t>
  </si>
  <si>
    <t>ТЕРр57-10-8</t>
  </si>
  <si>
    <t>Заделка выбоин в полах: асфальтовых площадью до 0,5 м2</t>
  </si>
  <si>
    <t>ТЕРр57-10-9</t>
  </si>
  <si>
    <t>Заделка выбоин в полах: асфальтовых площадью до 1,0 м2</t>
  </si>
  <si>
    <t>ТЕРр57-10-10</t>
  </si>
  <si>
    <t>Заделка выбоин в полах: ксилолитовых площадью до 0,25 м2</t>
  </si>
  <si>
    <t>ТЕРр57-10-11</t>
  </si>
  <si>
    <t>Заделка выбоин в полах: ксилолитовых площадью до 0,5 м2</t>
  </si>
  <si>
    <t>ТЕРр57-10-12</t>
  </si>
  <si>
    <t>Заделка выбоин в полах: ксилолитовых площадью до 1,0 м2</t>
  </si>
  <si>
    <t>Раздел 11. Устройство оснований под покрытие пола</t>
  </si>
  <si>
    <t>ТЕРр57-11-1</t>
  </si>
  <si>
    <t>Устройство оснований под покрытие пола: из древесноволокнистых плит насухо в два слоя площадью до 20 м2</t>
  </si>
  <si>
    <t>ТЕРр57-11-2</t>
  </si>
  <si>
    <t>Устройство оснований под покрытие пола: из древесноволокнистых плит насухо в два слоя площадью свыше 20 м2</t>
  </si>
  <si>
    <t>ТЕРр57-11-3</t>
  </si>
  <si>
    <t>Устройство оснований под покрытие пола: из древесноволокнистых плит на мастике в один слой площадью до 20 м2</t>
  </si>
  <si>
    <t>ТЕРр57-11-4</t>
  </si>
  <si>
    <t>Устройство оснований под покрытие пола: из древесноволокнистых плит на мастике в один слой площадью свыше 20 м2</t>
  </si>
  <si>
    <t>ТЕРр57-11-5</t>
  </si>
  <si>
    <t>Устройство оснований под покрытие пола: из древесно-стружечных плит площадью до 20 м2</t>
  </si>
  <si>
    <t>ТЕРр57-11-6</t>
  </si>
  <si>
    <t>Устройство оснований под покрытие пола: из древесно-стружечных плит площадью свыше 20 м2</t>
  </si>
  <si>
    <t>ТЕРр57-11-7</t>
  </si>
  <si>
    <t>Устройство обрешетки из досок под паркет: щитовой</t>
  </si>
  <si>
    <t>ТЕРр57-11-8</t>
  </si>
  <si>
    <t>Устройство обрешетки из досок под паркет: штучный</t>
  </si>
  <si>
    <t>Раздел 12. Устройство паркетного покрытия пола на гвоздях</t>
  </si>
  <si>
    <t>ТЕРр57-12-1</t>
  </si>
  <si>
    <t>Устройство паркетного покрытия: из штучного паркета без жилок на гвоздях</t>
  </si>
  <si>
    <t>ТЕРр57-12-2</t>
  </si>
  <si>
    <t>Устройство паркетного покрытия: из паркетных досок на гвоздях</t>
  </si>
  <si>
    <t>Раздел 13. Смена вентиляционных половых решеток</t>
  </si>
  <si>
    <t>ТЕРр57-13-1</t>
  </si>
  <si>
    <t>Смена вентиляционных половых решеток</t>
  </si>
  <si>
    <t>Раздел 14. Ремонт полов из щитового паркета</t>
  </si>
  <si>
    <t>ТЕРр57-14-1</t>
  </si>
  <si>
    <t>Ремонт полов из щитового паркета: смена квадр</t>
  </si>
  <si>
    <t>ТЕРр57-14-2</t>
  </si>
  <si>
    <t>Ремонт полов из щитового паркета: перестилка обрешетки</t>
  </si>
  <si>
    <t>ТЕРр57-14-3</t>
  </si>
  <si>
    <t>Ремонт филенок паркетных щитов</t>
  </si>
  <si>
    <t>Раздел 15. Смена керамических плиток в полах</t>
  </si>
  <si>
    <t>ТЕРр57-15-1</t>
  </si>
  <si>
    <t>Смена керамических коврово-мозаичных плиток в полах: до 10 шт.</t>
  </si>
  <si>
    <t>ТЕРр57-15-2</t>
  </si>
  <si>
    <t>Смена керамических коврово-мозаичных плиток в полах: более 10 шт.</t>
  </si>
  <si>
    <t>ТЕРр57-15-3</t>
  </si>
  <si>
    <t>Смена метлахских плиток в полах: до 10 шт.</t>
  </si>
  <si>
    <t>ТЕРр57-15-4</t>
  </si>
  <si>
    <t>Смена метлахских плиток в полах: более 10 шт.</t>
  </si>
  <si>
    <r>
      <t xml:space="preserve">         </t>
    </r>
    <r>
      <rPr>
        <sz val="18"/>
        <rFont val="Arial"/>
        <family val="2"/>
        <charset val="204"/>
      </rPr>
      <t xml:space="preserve">   ТЕРр57</t>
    </r>
  </si>
  <si>
    <r>
      <t xml:space="preserve">           </t>
    </r>
    <r>
      <rPr>
        <sz val="18"/>
        <rFont val="Arial"/>
        <family val="2"/>
        <charset val="204"/>
      </rPr>
      <t xml:space="preserve"> ТЕРр58</t>
    </r>
  </si>
  <si>
    <t>Раздел 1. Разборка деревянных элементов конструкций крыш</t>
  </si>
  <si>
    <t>ТЕРр58-1-1</t>
  </si>
  <si>
    <t>Разборка деревянных элементов конструкций крыш: обрешетки из брусков с прозорами</t>
  </si>
  <si>
    <t>ТЕРр58-1-2</t>
  </si>
  <si>
    <t>Разборка деревянных элементов конструкций крыш: стропил со стойками и подкосами из досок</t>
  </si>
  <si>
    <t>ТЕРр58-1-3</t>
  </si>
  <si>
    <t>Разборка деревянных элементов конструкций крыш: стропил со стойками и подкосами из брусьев и бревен</t>
  </si>
  <si>
    <t>ТЕРр58-1-4</t>
  </si>
  <si>
    <t>Разборка деревянных элементов конструкций крыш: мауэрлатов</t>
  </si>
  <si>
    <t>Раздел 2. Разборка слуховых окон</t>
  </si>
  <si>
    <t>ТЕРр58-2-1</t>
  </si>
  <si>
    <t>Разборка слуховых окон: прямоугольных двускатных</t>
  </si>
  <si>
    <t>ТЕРр58-2-2</t>
  </si>
  <si>
    <t>Разборка слуховых окон: прямоугольных односкатных</t>
  </si>
  <si>
    <t>ТЕРр58-2-3</t>
  </si>
  <si>
    <t>Разборка слуховых окон: полукруглых и треугольных</t>
  </si>
  <si>
    <t>Раздел 3. Разборка мелких покрытий и обделок из листовой стали</t>
  </si>
  <si>
    <t>ТЕРр58-3-1</t>
  </si>
  <si>
    <t>Разборка мелких покрытий и обделок из листовой стали: поясков, сандриков, желобов, отливов, свесов и т.п.</t>
  </si>
  <si>
    <t>ТЕРр58-3-2</t>
  </si>
  <si>
    <t>Разборка мелких покрытий и обделок из листовой стали: водосточных труб с земли и подмостей</t>
  </si>
  <si>
    <t>ТЕРр58-3-3</t>
  </si>
  <si>
    <t>Разборка мелких покрытий и обделок из листовой стали: водосточных труб с люлек</t>
  </si>
  <si>
    <t>Раздел 4. Разборка парапетных решеток</t>
  </si>
  <si>
    <t>ТЕРр58-4-1</t>
  </si>
  <si>
    <t>Разборка парапетных решеток</t>
  </si>
  <si>
    <t>Раздел 5. Ремонт деревянных элементов конструкций крыш</t>
  </si>
  <si>
    <t>ТЕРр58-5-1</t>
  </si>
  <si>
    <t>Ремонт деревянных элементов конструкций крыш: укрепление стропильных ног расшивкой досками с двух сторон</t>
  </si>
  <si>
    <t>ТЕРр58-5-2</t>
  </si>
  <si>
    <t>Ремонт деревянных элементов конструкций крыш: смена стропильных ног из бревен</t>
  </si>
  <si>
    <t>ТЕРр58-5-3</t>
  </si>
  <si>
    <t>Ремонт деревянных элементов конструкций крыш: смена стропильных ног из брусьев</t>
  </si>
  <si>
    <t>ТЕРр58-5-4</t>
  </si>
  <si>
    <t>Ремонт деревянных элементов конструкций крыш: смена стропильных ног из досок</t>
  </si>
  <si>
    <t>ТЕРр58-5-5</t>
  </si>
  <si>
    <t>Ремонт деревянных элементов конструкций крыш: смена отдельных частей мауэрлатов с осмолкой и обертывание толью</t>
  </si>
  <si>
    <t>ТЕРр58-5-6</t>
  </si>
  <si>
    <t>Ремонт деревянных элементов конструкций крыш: выправка деревянных стропильных ног с постановкой раскосов</t>
  </si>
  <si>
    <t>ТЕРр58-5-7</t>
  </si>
  <si>
    <t>Ремонт деревянных элементов конструкций крыш: смена концов деревянных стропильных с установкой стоек под стропильные ноги</t>
  </si>
  <si>
    <t>Раздел 6. Ремонт отдельных мест покрытия из асбоцементных листов</t>
  </si>
  <si>
    <t>ТЕРр58-6-1</t>
  </si>
  <si>
    <t>Ремонт отдельных мест покрытия из асбоцементных листов: обыкновенного профиля</t>
  </si>
  <si>
    <t>ТЕРр58-6-2</t>
  </si>
  <si>
    <t>Ремонт отдельных мест покрытия из асбоцементных листов: усиленного профиля</t>
  </si>
  <si>
    <t>Раздел 7. Ремонт отдельными местами рулонного покрытия и смена существующих рулонных кровель на кровли из наплавляемых материалов</t>
  </si>
  <si>
    <t>ТЕРр58-7-1</t>
  </si>
  <si>
    <t>Ремонт отдельными местами рулонного покрытия с промазкой: битумными составами с заменой 1 слоя</t>
  </si>
  <si>
    <t>ТЕРр58-7-2</t>
  </si>
  <si>
    <t>Ремонт отдельными местами рулонного покрытия с промазкой: битумными составами с заменой 2 слоев</t>
  </si>
  <si>
    <t>ТЕРр58-7-3</t>
  </si>
  <si>
    <t>Ремонт отдельными местами рулонного покрытия с промазкой: рубероидной мастикой</t>
  </si>
  <si>
    <t>ТЕРр58-7-4</t>
  </si>
  <si>
    <t>Ремонт отдельными местами рулонного покрытия с промазкой: смолой</t>
  </si>
  <si>
    <t>ТЕРр58-7-5</t>
  </si>
  <si>
    <t>Ремонт отдельными местами рулонного покрытия с промазкой: битумным лаком</t>
  </si>
  <si>
    <t>ТЕРр58-7-6</t>
  </si>
  <si>
    <t>Смена существующих рулонных кровель на покрытия из наплавляемых рулонных материалов: в два слоя</t>
  </si>
  <si>
    <t>ТЕРр58-7-7</t>
  </si>
  <si>
    <t>Смена существующих рулонных кровель на покрытия из наплавляемых рулонных материалов: в один слой</t>
  </si>
  <si>
    <t>Раздел 8. Смена отдельных листов металлической кровли или постановка заплат</t>
  </si>
  <si>
    <t>ТЕРр58-8-1</t>
  </si>
  <si>
    <t>Смена негодных листов кровли до 5 шт. в одном месте из листовой кровельной стали: черной</t>
  </si>
  <si>
    <t>ТЕРр58-8-2</t>
  </si>
  <si>
    <t>Смена негодных листов кровли до 5 шт. в одном месте из листовой кровельной стали: оцинкованной</t>
  </si>
  <si>
    <t>ТЕРр58-8-3</t>
  </si>
  <si>
    <t>Постановка заплат из листовой кровельной стали: черной размером 1/4 листа</t>
  </si>
  <si>
    <t>ТЕРр58-8-4</t>
  </si>
  <si>
    <t>Постановка заплат из листовой кровельной стали: черной размером 1/2 листа</t>
  </si>
  <si>
    <t>ТЕРр58-8-5</t>
  </si>
  <si>
    <t>Постановка заплат из листовой кровельной стали: оцинкованной размером 1/4 листа</t>
  </si>
  <si>
    <t>ТЕРр58-8-6</t>
  </si>
  <si>
    <t>Постановка заплат из листовой кровельной стали: оцинкованной размером 1/2 листа</t>
  </si>
  <si>
    <t>Раздел 9. Промазка фальцев и свищей в покрытии из кровельной стали</t>
  </si>
  <si>
    <t>ТЕРр58-9-1</t>
  </si>
  <si>
    <t>Промазка фальцев и свищей в покрытии из кровельной стали</t>
  </si>
  <si>
    <t>Раздел 10. Смена частей водосточных труб</t>
  </si>
  <si>
    <t>ТЕРр58-10-1</t>
  </si>
  <si>
    <t>Смена: прямых звеньев водосточных труб с земли, лестниц или подмостей</t>
  </si>
  <si>
    <t>ТЕРр58-10-2</t>
  </si>
  <si>
    <t>Смена: прямых звеньев водосточных труб с люлек</t>
  </si>
  <si>
    <t>ТЕРр58-10-3</t>
  </si>
  <si>
    <t>Смена: колен водосточных труб с земли, лестниц и подмостей</t>
  </si>
  <si>
    <t>ТЕРр58-10-4</t>
  </si>
  <si>
    <t>Смена: колен водосточных труб с люлек</t>
  </si>
  <si>
    <t>ТЕРр58-10-5</t>
  </si>
  <si>
    <t>Смена: отливов (отметов) водосточных труб</t>
  </si>
  <si>
    <t>ТЕРр58-10-6</t>
  </si>
  <si>
    <t>Смена: воронок водосточных труб с земли, лестниц или подмостей</t>
  </si>
  <si>
    <t>ТЕРр58-10-7</t>
  </si>
  <si>
    <t>Смена: воронок водосточных труб с люлек</t>
  </si>
  <si>
    <t>Раздел 11. Ремонт металлических парапетных решеток</t>
  </si>
  <si>
    <t>ТЕРр58-11-1</t>
  </si>
  <si>
    <t>Ремонт металлических парапетных решеток</t>
  </si>
  <si>
    <t>Раздел 12. Устройство обрешетки</t>
  </si>
  <si>
    <t>ТЕРр58-12-1</t>
  </si>
  <si>
    <t>Устройство обрешетки сплошной из досок</t>
  </si>
  <si>
    <t>ТЕРр58-12-2</t>
  </si>
  <si>
    <t>Устройство обрешетки с прозорами из досок и брусков под кровлю: из листовой стали</t>
  </si>
  <si>
    <t>ТЕРр58-12-3</t>
  </si>
  <si>
    <t>Устройство обрешетки с прозорами из досок и брусков под кровлю: из асбестоцементных листов</t>
  </si>
  <si>
    <t>ТЕРр58-12-4</t>
  </si>
  <si>
    <t>Устройство обрешетки с прозорами из досок и брусков под кровлю: из черепицы</t>
  </si>
  <si>
    <t>Раздел 13. Устройство покрытия из рулонных материалов насухо</t>
  </si>
  <si>
    <t>ТЕРр58-13-1</t>
  </si>
  <si>
    <t>Устройство покрытия из рулонных материалов: насухо без промазки кромок</t>
  </si>
  <si>
    <t>ТЕРр58-13-2</t>
  </si>
  <si>
    <t>Устройство покрытия из рулонных материалов: насухо с промазкой кромок мастикой</t>
  </si>
  <si>
    <t>Раздел 14. Смена покрытия из листовой стали</t>
  </si>
  <si>
    <t>ТЕРр58-14-1</t>
  </si>
  <si>
    <t>Смена покрытия кровли средней сложности из листовой стали: с настенными желобами и свесами</t>
  </si>
  <si>
    <t>ТЕРр58-14-2</t>
  </si>
  <si>
    <t>Смена покрытия кровли средней сложности из листовой стали: без настенных желобов и свесов</t>
  </si>
  <si>
    <t>ТЕРр58-14-3</t>
  </si>
  <si>
    <t>Смена покрытия кровли средней сложности из листовой стали: с настенными желобами и свесами при площади покрытия до 50 м2</t>
  </si>
  <si>
    <t>ТЕРр58-14-4</t>
  </si>
  <si>
    <t>Смена покрытия кровли средней сложности из листовой стали: без настенных желобов и свесов при площади покрытия до 50 м2</t>
  </si>
  <si>
    <t>ТЕРр58-14-5</t>
  </si>
  <si>
    <t>Смена покрытия кровли простой сложности из листовой стали: с настенными желобами и свесами</t>
  </si>
  <si>
    <t>ТЕРр58-14-6</t>
  </si>
  <si>
    <t>Смена покрытия кровли простой сложности из листовой стали: без настенных желобов и свесов</t>
  </si>
  <si>
    <t>Раздел 15. Перенавеска водосточных труб</t>
  </si>
  <si>
    <t>ТЕРр58-15-1</t>
  </si>
  <si>
    <t>Перенавеска водосточных труб: с земли, лестниц или подмостей</t>
  </si>
  <si>
    <t>ТЕРр58-15-2</t>
  </si>
  <si>
    <t>Перенавеска водосточных труб: с люлек</t>
  </si>
  <si>
    <t>Раздел 16. Ремонт выравнивающих стяжек отдельными местами</t>
  </si>
  <si>
    <t>ТЕРр58-16-1</t>
  </si>
  <si>
    <t>Ремонт цементной стяжки площадью заделки: до 0,25 м2</t>
  </si>
  <si>
    <t>ТЕРр58-16-2</t>
  </si>
  <si>
    <t>Ремонт цементной стяжки площадью заделки: до 0,5 м2</t>
  </si>
  <si>
    <t>ТЕРр58-16-3</t>
  </si>
  <si>
    <t>Ремонт цементной стяжки площадью заделки: до 1,0 м2</t>
  </si>
  <si>
    <t>ТЕРр58-16-4</t>
  </si>
  <si>
    <t>Ремонт асфальтовой стяжки площадью заделки: до 0,25 м2</t>
  </si>
  <si>
    <t>ТЕРр58-16-5</t>
  </si>
  <si>
    <t>Ремонт асфальтовой стяжки площадью заделки: до 0,5 м2</t>
  </si>
  <si>
    <t>ТЕРр58-16-6</t>
  </si>
  <si>
    <t>Ремонт асфальтовой стяжки площадью заделки: до 1,0 м2</t>
  </si>
  <si>
    <t>Раздел 17. Разборка теплоизоляции на кровле</t>
  </si>
  <si>
    <t>ТЕРр58-17-1</t>
  </si>
  <si>
    <t>Разборка теплоизоляции на кровле из: двух слоев стеклоткани</t>
  </si>
  <si>
    <t>ТЕРр58-17-2</t>
  </si>
  <si>
    <t>Разборка теплоизоляции на кровле из: ваты минеральной толщиной 100 мм</t>
  </si>
  <si>
    <t>ТЕРр58-17-3</t>
  </si>
  <si>
    <t>Разборка теплоизоляции на кровле из: плит пенополистирольных толщиной 100 мм</t>
  </si>
  <si>
    <t>Раздел 18. Смена обрешетки</t>
  </si>
  <si>
    <t>ТЕРр58-18-1</t>
  </si>
  <si>
    <t>Смена обрешетки с прозорами: из досок толщиной до 30 мм</t>
  </si>
  <si>
    <t>ТЕРр58-18-2</t>
  </si>
  <si>
    <t>Смена обрешетки с прозорами: из досок толщиной до 50 мм</t>
  </si>
  <si>
    <t>ТЕРр58-18-3</t>
  </si>
  <si>
    <t>Смена обрешетки с прозорами: из брусков толщиной 50 мм и выше</t>
  </si>
  <si>
    <t>ТЕРр58-18-4</t>
  </si>
  <si>
    <t>Смена обрешетки сплошным настилом из досок толщиной: до 30 мм</t>
  </si>
  <si>
    <t>ТЕРр58-18-5</t>
  </si>
  <si>
    <t>Смена обрешетки сплошным настилом из досок толщиной: до 50 мм</t>
  </si>
  <si>
    <t>Раздел 19. Смена мелких покрытий из листовой стали</t>
  </si>
  <si>
    <t>ТЕРр58-19-1</t>
  </si>
  <si>
    <t>Смена мелких покрытий из листовой стали в кровлях из рулонных и штучных материалов: разжелобков</t>
  </si>
  <si>
    <t>ТЕРр58-19-2</t>
  </si>
  <si>
    <t>Смена мелких покрытий из листовой стали в кровлях из рулонных и штучных материалов: настенных желобов</t>
  </si>
  <si>
    <t>ТЕРр58-19-3</t>
  </si>
  <si>
    <t>Смена мелких покрытий из листовой стали в кровлях из рулонных и штучных материалов: карнизных свесов</t>
  </si>
  <si>
    <t>ТЕРр58-19-4</t>
  </si>
  <si>
    <t>Смена мелких покрытий из листовой стали в кровлях металлических: разжелобков</t>
  </si>
  <si>
    <t>ТЕРр58-19-5</t>
  </si>
  <si>
    <t>Смена мелких покрытий из листовой стали в кровлях металлических: настенных желобов</t>
  </si>
  <si>
    <t>ТЕРр58-19-6</t>
  </si>
  <si>
    <t>Смена мелких покрытий из листовой стали в кровлях металлических: карнизных свесов с настенными желобами</t>
  </si>
  <si>
    <t>Раздел 20. Смена обделок из листовой стали</t>
  </si>
  <si>
    <t>ТЕРр58-20-1</t>
  </si>
  <si>
    <t>Смена обделок из листовой стали (поясков, сандриков, отливов, карнизов) шириной: до 0,4 м</t>
  </si>
  <si>
    <t>ТЕРр58-20-2</t>
  </si>
  <si>
    <t>Смена обделок из листовой стали (поясков, сандриков, отливов, карнизов) шириной: до 0,7 м</t>
  </si>
  <si>
    <t>ТЕРр58-20-3</t>
  </si>
  <si>
    <t>Смена обделок из листовой стали (брандмауэров и парапетов без обделки боковых стенок) шириной: до 1 м</t>
  </si>
  <si>
    <t>ТЕРр58-20-4</t>
  </si>
  <si>
    <t>Смена обделок из листовой стали (брандмауэров и парапетов без обделки боковых стенок) шириной: до 1,75 м</t>
  </si>
  <si>
    <t>ТЕРр58-20-5</t>
  </si>
  <si>
    <t>Смена обделок из листовой стали, примыканий: к каменным стенам</t>
  </si>
  <si>
    <t>ТЕРр58-20-6</t>
  </si>
  <si>
    <t>Смена обделок из листовой стали, примыканий: к деревянным стенам</t>
  </si>
  <si>
    <t>ТЕРр58-20-7</t>
  </si>
  <si>
    <t>Смена обделок из листовой стали, примыканий: к дымовым трубам</t>
  </si>
  <si>
    <t>ТЕРр58-20-8</t>
  </si>
  <si>
    <t>Смена обделок из листовой стали, примыканий: к вытяжным трубам</t>
  </si>
  <si>
    <t>Раздел 21. Смена колпаков на дымовых и вентиляционных трубах</t>
  </si>
  <si>
    <t>ТЕРр58-21-1</t>
  </si>
  <si>
    <t>Смена колпаков на дымовых и вентиляционных трубах в один канал</t>
  </si>
  <si>
    <t>ТЕРр58-21-2</t>
  </si>
  <si>
    <t>На каждый следующий канал добавлять к расценке 58-21-1</t>
  </si>
  <si>
    <t>Раздел 22. Смена ухватов для водосточных труб</t>
  </si>
  <si>
    <t>ТЕРр58-22-1</t>
  </si>
  <si>
    <t>Смена ухватов для водосточных труб: в каменных стенах</t>
  </si>
  <si>
    <t>ТЕРр58-22-2</t>
  </si>
  <si>
    <t>Смена ухватов для водосточных труб: в деревянных стенах</t>
  </si>
  <si>
    <t>Раздел 23. Устройство обделок в местах примыкания кровли к радио и телеантеннам</t>
  </si>
  <si>
    <t>ТЕРр58-23-1</t>
  </si>
  <si>
    <t>Установка стальной гильзы и фартука при обделке мест примыкания мягкой кровли</t>
  </si>
  <si>
    <t>Раздел 24. Смена кровли из черепицы</t>
  </si>
  <si>
    <t>ТЕРр58-24-1</t>
  </si>
  <si>
    <t>Смена кровли из черепицы при добавлении нового материала: до 50%</t>
  </si>
  <si>
    <t>ТЕРр58-24-2</t>
  </si>
  <si>
    <t>Смена кровли из черепицы при добавлении нового материала: до 75%</t>
  </si>
  <si>
    <t>ТЕРр58-24-3</t>
  </si>
  <si>
    <t>При смене покрытия с уклоном более 35 градусов (более 1:1,43) добавлять к расценкам 58-24-1 и 58-24-2</t>
  </si>
  <si>
    <t>Раздел 25. Прорезка борозд в старой кровле нарезчиками с алмазными дисками</t>
  </si>
  <si>
    <t>ТЕРр58-26-1</t>
  </si>
  <si>
    <t>Прорезка борозд в старой кровле нарезчиками с алмазными дисками, толщина кровли: до 10 см</t>
  </si>
  <si>
    <t>ТЕРр58-26-2</t>
  </si>
  <si>
    <t>Прорезка борозд в старой кровле нарезчиками с алмазными дисками, толщина кровли: до 20 см</t>
  </si>
  <si>
    <t>ТЕРр58-26-3</t>
  </si>
  <si>
    <t>Прорезка борозд в старой кровле нарезчиками с алмазными дисками, толщина кровли: более 20 см</t>
  </si>
  <si>
    <t>Раздел 26. Ремонт мягкой кровли из рубероида РК-350 с использованием аппарата «AIV» с устройством нового покрытия</t>
  </si>
  <si>
    <t>ТЕРр58-27-1</t>
  </si>
  <si>
    <t>Ремонт мягкой кровли из рубероида РК-350 с использованием аппарата «AIV» с устройством нового покрытия: в один слой</t>
  </si>
  <si>
    <t>ТЕРр58-27-2</t>
  </si>
  <si>
    <t>Ремонт мягкой кровли из рубероида РК-350 с использованием аппарата «AIV» с устройством нового покрытия: в два слоя</t>
  </si>
  <si>
    <t>Раздел 27. Подготовка и проварка основания рулонной кровли с использованием аппарата «AIV» для последующего покрытия рулонной кровлей</t>
  </si>
  <si>
    <t>ТЕРр58-28-1</t>
  </si>
  <si>
    <t>Подготовка и проварка основания рулонной кровли с использованием аппарата «AIV» для последующего покрытия рулонной кровлей</t>
  </si>
  <si>
    <t>Раздел 28. Ремонт рулонных кровель с применением приклеиваемых рулонных материалов на основе этилен-пропиленовых каучуков</t>
  </si>
  <si>
    <t>ТЕРр58-29-1</t>
  </si>
  <si>
    <t>Ремонт рулонных кровель с применением приклеиваемых рулонных материалов на основе этилен-пропиленовых каучуков</t>
  </si>
  <si>
    <t>Раздел 29. Ремонт кровли с переработкой многослойного рубероидного ковра в ВИР-ПЛАСТ</t>
  </si>
  <si>
    <t>ТЕРр58-30-1</t>
  </si>
  <si>
    <t>Ремонт кровли с переработкой многослойного рубероидного ковра в ВИР-ПЛАСТ</t>
  </si>
  <si>
    <t>ТЕРр58-30-2</t>
  </si>
  <si>
    <t>На каждый следующий слой добавлять к расценке 58-30-1</t>
  </si>
  <si>
    <r>
      <t xml:space="preserve">             </t>
    </r>
    <r>
      <rPr>
        <sz val="18"/>
        <rFont val="Arial"/>
        <family val="2"/>
        <charset val="204"/>
      </rPr>
      <t>ТЕРр59</t>
    </r>
  </si>
  <si>
    <t>Раздел 1. Разборка деревянных лестниц и крылец</t>
  </si>
  <si>
    <t>ТЕРр59-1-1</t>
  </si>
  <si>
    <t>Разборка деревянных: лестниц с маршами и площадками</t>
  </si>
  <si>
    <t>ТЕРр59-1-2</t>
  </si>
  <si>
    <t>Разборка деревянных: крылец с площадками и ступенями</t>
  </si>
  <si>
    <t>Раздел 2. Разборка деревянных чердачных лестниц</t>
  </si>
  <si>
    <t>ТЕРр59-2-1</t>
  </si>
  <si>
    <t>Разборка деревянных чердачных лестниц</t>
  </si>
  <si>
    <t>Раздел 3. Разборка металлических лестничных решеток</t>
  </si>
  <si>
    <t>ТЕРр59-3-1</t>
  </si>
  <si>
    <t>Разборка металлических лестничных решеток при весе одного метра решетки: до 60 кг</t>
  </si>
  <si>
    <t>ТЕРр59-3-2</t>
  </si>
  <si>
    <t>Разборка металлических лестничных решеток при весе одного метра решетки: свыше 60 кг</t>
  </si>
  <si>
    <t>Раздел 4. Разборка поручней</t>
  </si>
  <si>
    <t>ТЕРр59-4-1</t>
  </si>
  <si>
    <t>Разборка поручней деревянных: прямой части</t>
  </si>
  <si>
    <t>ТЕРр59-4-2</t>
  </si>
  <si>
    <t>Разборка поручней деревянных: закруглений</t>
  </si>
  <si>
    <t>ТЕРр59-4-3</t>
  </si>
  <si>
    <t>Разборка поручней поливинилхлоридных</t>
  </si>
  <si>
    <t>Раздел 5. Ремонт ступеней</t>
  </si>
  <si>
    <t>ТЕРр59-5-1</t>
  </si>
  <si>
    <t>Ремонт ступеней: деревянных</t>
  </si>
  <si>
    <t>ТЕРр59-5-2</t>
  </si>
  <si>
    <t>Ремонт ступеней: бетонных</t>
  </si>
  <si>
    <t>ТЕРр59-5-3</t>
  </si>
  <si>
    <t>Ремонт ступеней: мозаичных</t>
  </si>
  <si>
    <t>Раздел 6. Устройство вставок в каменных ступенях</t>
  </si>
  <si>
    <t>ТЕРр59-6-1</t>
  </si>
  <si>
    <t>Устройство вставок в каменных ступенях</t>
  </si>
  <si>
    <t>Раздел 7. Ремонт деревянного поручня</t>
  </si>
  <si>
    <t>ТЕРр59-7-1</t>
  </si>
  <si>
    <t>Ремонт: прямой части поручня с постановкой заделок</t>
  </si>
  <si>
    <t>ТЕРр59-7-2</t>
  </si>
  <si>
    <t>Ремонт: закруглений поручня с постановкой заделок</t>
  </si>
  <si>
    <t>Раздел 8. Укрепление стоек металлических решеток ограждений</t>
  </si>
  <si>
    <t>ТЕРр59-8-1</t>
  </si>
  <si>
    <t>Укрепление стоек металлических решеток ограждений</t>
  </si>
  <si>
    <t>Раздел 9. Ремонт металлических лестничных решеток</t>
  </si>
  <si>
    <t>ТЕРр59-9-1</t>
  </si>
  <si>
    <t>Ремонт металлических лестничных решеток</t>
  </si>
  <si>
    <t>Раздел 10. Смена отдельных каменных и железобетонных ступеней</t>
  </si>
  <si>
    <t>ТЕРр59-10-1</t>
  </si>
  <si>
    <t>Смена отдельных каменных и железобетонных ступеней: на косоурах</t>
  </si>
  <si>
    <t>ТЕРр59-10-2</t>
  </si>
  <si>
    <t>Смена отдельных каменных и железобетонных ступеней: на сплошном основании или с заделкой двух концов</t>
  </si>
  <si>
    <r>
      <t xml:space="preserve">            </t>
    </r>
    <r>
      <rPr>
        <sz val="18"/>
        <rFont val="Arial"/>
        <family val="2"/>
        <charset val="204"/>
      </rPr>
      <t>ТЕРр60</t>
    </r>
  </si>
  <si>
    <t>Раздел 1. Разборка кладки печей и очагов</t>
  </si>
  <si>
    <t>ТЕРр60-1-1</t>
  </si>
  <si>
    <t>Разборка кладки печей: необлицованных</t>
  </si>
  <si>
    <t>ТЕРр60-1-2</t>
  </si>
  <si>
    <t>Разборка кладки печей: облицованных</t>
  </si>
  <si>
    <t>ТЕРр60-1-3</t>
  </si>
  <si>
    <t>Разборка кладки очагов: необлицованных</t>
  </si>
  <si>
    <t>ТЕРр60-1-4</t>
  </si>
  <si>
    <t>Разборка кладки очагов: облицованных</t>
  </si>
  <si>
    <t>ТЕРр60-1-5</t>
  </si>
  <si>
    <t>Разборка кладки печей в футлярах из кровельной стали</t>
  </si>
  <si>
    <t>Раздел 2. Разборка дымовых кирпичных труб и боровов</t>
  </si>
  <si>
    <t>ТЕРр60-2-1</t>
  </si>
  <si>
    <t>Разборка дымовых кирпичных труб и боровов в один канал</t>
  </si>
  <si>
    <t>ТЕРр60-2-2</t>
  </si>
  <si>
    <t>На каждый следующий канал добавлять к расценке 60-2-1</t>
  </si>
  <si>
    <t>Раздел 3. Большой ремонт печей</t>
  </si>
  <si>
    <t>ТЕРр60-3-1</t>
  </si>
  <si>
    <t>Большой ремонт печей: облицованных</t>
  </si>
  <si>
    <t>ТЕРр60-3-2</t>
  </si>
  <si>
    <t>Большой ремонт печей: необлицованных</t>
  </si>
  <si>
    <t>Раздел 4. Малый ремонт печей</t>
  </si>
  <si>
    <t>ТЕРр60-4-1</t>
  </si>
  <si>
    <t>Малый ремонт: сводов русских печей</t>
  </si>
  <si>
    <t>ТЕРр60-4-2</t>
  </si>
  <si>
    <t>Малый ремонт: пода, наружной стенки русских печей</t>
  </si>
  <si>
    <t>ТЕРр60-4-3</t>
  </si>
  <si>
    <t>Малый ремонт: сводов голландских печей</t>
  </si>
  <si>
    <t>ТЕРр60-4-4</t>
  </si>
  <si>
    <t>Малый ремонт: пода, топочного или поддувального отверстия голландских печей</t>
  </si>
  <si>
    <t>ТЕРр60-4-5</t>
  </si>
  <si>
    <t>Малый ремонт: боковой или задней стенки кухонных очагов</t>
  </si>
  <si>
    <t>ТЕРр60-4-6</t>
  </si>
  <si>
    <t>Малый ремонт: топочного или поддувального отверстия кухонных очагов</t>
  </si>
  <si>
    <t>Раздел 5. Перекладка частей русской печи</t>
  </si>
  <si>
    <t>ТЕРр60-5-1</t>
  </si>
  <si>
    <t>Перекладка: устья русской печи</t>
  </si>
  <si>
    <t>ТЕРр60-5-2</t>
  </si>
  <si>
    <t>Перекладка: свода русской печи</t>
  </si>
  <si>
    <t>ТЕРр60-5-3</t>
  </si>
  <si>
    <t>Перекладка: пода русской печи</t>
  </si>
  <si>
    <t>ТЕРр60-5-4</t>
  </si>
  <si>
    <t>Перекладка: наружной стенки русской печи</t>
  </si>
  <si>
    <t>Раздел 6. Смена водогрейных и пищеварных котлов</t>
  </si>
  <si>
    <t>ТЕРр60-6-1</t>
  </si>
  <si>
    <t>Смена водогрейных и пищеварных котлов вместимостью: 75 литров</t>
  </si>
  <si>
    <t>ТЕРр60-6-2</t>
  </si>
  <si>
    <t>Смена водогрейных и пищеварных котлов вместимостью: 185 литров</t>
  </si>
  <si>
    <t>ТЕРр60-6-3</t>
  </si>
  <si>
    <t>Смена водогрейных и пищеварных котлов вместимостью: 300 литров</t>
  </si>
  <si>
    <t>Раздел 7. Перекладка дымовых труб</t>
  </si>
  <si>
    <t>ТЕРр60-7-1</t>
  </si>
  <si>
    <t>Перекладка дымовых труб под крышей с добавлением нового кирпича до 25% в один канал</t>
  </si>
  <si>
    <t>ТЕРр60-7-2</t>
  </si>
  <si>
    <t>На каждый следующий канал добавлять к расценке 60-7-1</t>
  </si>
  <si>
    <t>ТЕРр60-7-3</t>
  </si>
  <si>
    <t>Перекладка дымовых труб под крышей с добавлением нового кирпича 50% в один канал</t>
  </si>
  <si>
    <t>ТЕРр60-7-4</t>
  </si>
  <si>
    <t>На каждый следующий канал добавлять к расценке 60-7-3</t>
  </si>
  <si>
    <t>ТЕРр60-7-5</t>
  </si>
  <si>
    <t>Перекладка дымовых труб над крышей с добавлением нового кирпича до 25 % в один канал</t>
  </si>
  <si>
    <t>ТЕРр60-7-6</t>
  </si>
  <si>
    <t>На каждый следующий канал добавлять к расценке 60-7-5</t>
  </si>
  <si>
    <t>ТЕРр60-7-7</t>
  </si>
  <si>
    <t>Перекладка дымовых труб над крышей с добавлением нового кирпича до 50% в один канал</t>
  </si>
  <si>
    <t>ТЕРр60-7-8</t>
  </si>
  <si>
    <t>На каждый следующий канал добавлять к расценке 60-7-7</t>
  </si>
  <si>
    <t>Раздел 8. Перекладка вертикальных разделок печей</t>
  </si>
  <si>
    <t>ТЕРр60-8-1</t>
  </si>
  <si>
    <t>Перекладка вертикальных разделок печей толщиной: 0,25 кирпича</t>
  </si>
  <si>
    <t>ТЕРр60-8-2</t>
  </si>
  <si>
    <t>Перекладка вертикальных разделок печей толщиной: 0,5 кирпича</t>
  </si>
  <si>
    <t>ТЕРр60-8-3</t>
  </si>
  <si>
    <t>Перекладка вертикальных разделок печей толщиной: 1,0 кирпич</t>
  </si>
  <si>
    <t>Раздел 9. Ремонт отдельных частей трубы</t>
  </si>
  <si>
    <t>ТЕРр60-9-1</t>
  </si>
  <si>
    <t>Ремонт патрубков трубы</t>
  </si>
  <si>
    <t>ТЕРр60-9-2</t>
  </si>
  <si>
    <t>Ремонт разделок трубы в один канал</t>
  </si>
  <si>
    <t>ТЕРр60-9-3</t>
  </si>
  <si>
    <t>На каждый следующий канал добавлять к расценке 60-9-2</t>
  </si>
  <si>
    <t>Раздел 10. Исправление кладки дымовой трубы</t>
  </si>
  <si>
    <t>ТЕРр60-10-1</t>
  </si>
  <si>
    <t>Исправление кладки дымовой трубы</t>
  </si>
  <si>
    <t>ТЕРр60-10-2</t>
  </si>
  <si>
    <t>Исправление оголовка дымовых труб с добавлением до 50% нового кирпича: с одним каналом</t>
  </si>
  <si>
    <t>ТЕРр60-10-3</t>
  </si>
  <si>
    <t>Исправление оголовка дымовых труб с добавлением до 50% нового кирпича: с двумя каналами</t>
  </si>
  <si>
    <t>ТЕРр60-10-4</t>
  </si>
  <si>
    <t>На каждый следующий канал сверх двух добавлять к расценке 60-10-3</t>
  </si>
  <si>
    <t>Раздел 11. Смена изразцов облицовки печей</t>
  </si>
  <si>
    <t>ТЕРр60-11-1</t>
  </si>
  <si>
    <t>Смена изразцов облицовки печей</t>
  </si>
  <si>
    <t>Раздел 12. Промазка трещин в кладке печи</t>
  </si>
  <si>
    <t>ТЕРр60-12-1</t>
  </si>
  <si>
    <t>Промазка трещин в кладке печи</t>
  </si>
  <si>
    <t>Раздел 13. Обделка кирпичом топливников</t>
  </si>
  <si>
    <t>ТЕРр60-13-1</t>
  </si>
  <si>
    <t>Обделка кирпичом топливников: ванных колонок</t>
  </si>
  <si>
    <t>ТЕРр60-13-2</t>
  </si>
  <si>
    <t>Обделка кирпичом топливников: очагов</t>
  </si>
  <si>
    <t>Раздел 14. Смена приборов в печах</t>
  </si>
  <si>
    <t>ТЕРр60-14-1</t>
  </si>
  <si>
    <t>Смена в печах необлицованных: вычистных и поддувальных дверок</t>
  </si>
  <si>
    <t>ТЕРр60-14-2</t>
  </si>
  <si>
    <t>Смена в печах необлицованных: топочных дверок</t>
  </si>
  <si>
    <t>ТЕРр60-14-3</t>
  </si>
  <si>
    <t>Смена в печах необлицованных: вьюшек</t>
  </si>
  <si>
    <t>ТЕРр60-14-4</t>
  </si>
  <si>
    <t>Смена в печах необлицованных: задвижек</t>
  </si>
  <si>
    <t>ТЕРр60-14-5</t>
  </si>
  <si>
    <t>Смена в печах необлицованных: духовых шкафов</t>
  </si>
  <si>
    <t>ТЕРр60-14-6</t>
  </si>
  <si>
    <t>Смена в печах необлицованных: водогрейных коробок</t>
  </si>
  <si>
    <t>ТЕРр60-14-7</t>
  </si>
  <si>
    <t>Смена в печах необлицованных: душников и розеток</t>
  </si>
  <si>
    <t>ТЕРр60-14-8</t>
  </si>
  <si>
    <t>Смена в печах облицованных без исправления облицовки: вычистных и поддувальных дверок</t>
  </si>
  <si>
    <t>ТЕРр60-14-9</t>
  </si>
  <si>
    <t>Смена в печах облицованных без исправления облицовки: топочных дверок</t>
  </si>
  <si>
    <t>ТЕРр60-14-10</t>
  </si>
  <si>
    <t>Смена в печах облицованных без исправления облицовки: вьюшек</t>
  </si>
  <si>
    <t>ТЕРр60-14-11</t>
  </si>
  <si>
    <t>Смена в печах облицованных без исправления облицовки: задвижек</t>
  </si>
  <si>
    <t>ТЕРр60-14-12</t>
  </si>
  <si>
    <t>Смена в печах облицованных без исправления облицовки: духовых шкафов</t>
  </si>
  <si>
    <t>ТЕРр60-14-13</t>
  </si>
  <si>
    <t>Смена в печах облицованных без исправления облицовки: водогрейных коробок</t>
  </si>
  <si>
    <t>ТЕРр60-14-14</t>
  </si>
  <si>
    <t>Смена в печах облицованных без исправления облицовки: душников и розеток</t>
  </si>
  <si>
    <t>ТЕРр60-14-15</t>
  </si>
  <si>
    <t>Смена в печах облицованных с исправлением облицовки: вычистных и поддувальных дверок</t>
  </si>
  <si>
    <t>ТЕРр60-14-16</t>
  </si>
  <si>
    <t>Смена в печах облицованных с исправлением облицовки: топочных дверок</t>
  </si>
  <si>
    <t>ТЕРр60-14-17</t>
  </si>
  <si>
    <t>Смена в печах облицованных с исправлением облицовки: духовых шкафов</t>
  </si>
  <si>
    <t>ТЕРр60-14-18</t>
  </si>
  <si>
    <t>Смена в печах облицованных с исправлением облицовки: водогрейных коробок</t>
  </si>
  <si>
    <t>Раздел 15. Смена предтопочных листов</t>
  </si>
  <si>
    <t>ТЕРр60-15-1</t>
  </si>
  <si>
    <t>Смена предтопочных листов: дугообразных</t>
  </si>
  <si>
    <t>ТЕРр60-15-2</t>
  </si>
  <si>
    <t>Смена предтопочных листов: прямоугольных</t>
  </si>
  <si>
    <t>Раздел 16. Прочистка дымохода</t>
  </si>
  <si>
    <t>ТЕРр60-16-1</t>
  </si>
  <si>
    <t>Прочистка дымохода: из кирпича горизонтального</t>
  </si>
  <si>
    <t>ТЕРр60-16-2</t>
  </si>
  <si>
    <t>Прочистка дымохода: из кирпича вертикального</t>
  </si>
  <si>
    <t>ТЕРр60-16-3</t>
  </si>
  <si>
    <t>Прочистка дымохода: из кровельной стали</t>
  </si>
  <si>
    <t>Раздел 17. Устройство отверстий для печей и труб</t>
  </si>
  <si>
    <t>ТЕРр60-17-1</t>
  </si>
  <si>
    <t>Устройство отверстий для печей и труб: в перекрытиях чердачных</t>
  </si>
  <si>
    <t>ТЕРр60-17-2</t>
  </si>
  <si>
    <t>Устройство отверстий для печей и труб: в перекрытиях междуэтажных</t>
  </si>
  <si>
    <t>ТЕРр60-17-3</t>
  </si>
  <si>
    <t>Устройство отверстий для печей и труб: в полах без отделки фриза</t>
  </si>
  <si>
    <t>ТЕРр60-17-4</t>
  </si>
  <si>
    <t>Устройство отверстий для печей и труб: в полах с отделкой фриза</t>
  </si>
  <si>
    <t>Раздел 18. Устройство дымовых каналов в кирпичных стенах</t>
  </si>
  <si>
    <t>ТЕРр60-18-1</t>
  </si>
  <si>
    <t>Устройство дымовых каналов в кирпичных стенах в один канал</t>
  </si>
  <si>
    <t>ТЕРр60-18-2</t>
  </si>
  <si>
    <t>На каждый следующий канал добавлять к расценке 60-18-1</t>
  </si>
  <si>
    <t>Раздел 19. Смена колпаков на дымовых трубах</t>
  </si>
  <si>
    <t>ТЕРр60-19-1</t>
  </si>
  <si>
    <t>Смена колпаков на дымовых трубах на один канал</t>
  </si>
  <si>
    <t>ТЕРр60-19-2</t>
  </si>
  <si>
    <t>На каждый следующий канал добавлять к расценке 60-19-1</t>
  </si>
  <si>
    <r>
      <t xml:space="preserve">              </t>
    </r>
    <r>
      <rPr>
        <sz val="18"/>
        <rFont val="Arial"/>
        <family val="2"/>
        <charset val="204"/>
      </rPr>
      <t>ТЕРр61</t>
    </r>
  </si>
  <si>
    <t>Раздел 1. Сплошное выравнивание штукатурки внутри здания</t>
  </si>
  <si>
    <t>ТЕРр61-1-1</t>
  </si>
  <si>
    <t>Сплошное выравнивание штукатурки стен цементно-известковым раствором при толщине намета: до 5 мм</t>
  </si>
  <si>
    <t>ТЕРр61-1-2</t>
  </si>
  <si>
    <t>Сплошное выравнивание штукатурки стен цементно-известковым раствором при толщине намета: до 10 мм</t>
  </si>
  <si>
    <t>ТЕРр61-1-3</t>
  </si>
  <si>
    <t>Сплошное выравнивание штукатурки стен полимерцементным раствором при толщине намета: до 5 мм</t>
  </si>
  <si>
    <t>ТЕРр61-1-4</t>
  </si>
  <si>
    <t>Сплошное выравнивание штукатурки стен полимерцементным раствором при толщине намета: до 10 мм</t>
  </si>
  <si>
    <t>ТЕРр61-1-5</t>
  </si>
  <si>
    <t>Сплошное выравнивание штукатурки потолков цементно-известковым раствором при толщине намета: до 5 мм</t>
  </si>
  <si>
    <t>ТЕРр61-1-6</t>
  </si>
  <si>
    <t>Сплошное выравнивание штукатурки потолков цементно-известковым раствором при толщине намета: до 10 мм</t>
  </si>
  <si>
    <t>ТЕРр61-1-7</t>
  </si>
  <si>
    <t>Сплошное выравнивание штукатурки потолков полимерцементным раствором при толщине намета: до 5 мм</t>
  </si>
  <si>
    <t>ТЕРр61-1-8</t>
  </si>
  <si>
    <t>Сплошное выравнивание штукатурки потолков полимерцементным раствором при толщине намета: до 10 мм</t>
  </si>
  <si>
    <t>ТЕРр61-1-9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</si>
  <si>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обоями: стен</t>
  </si>
  <si>
    <t>ТЕРр61-1-10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</si>
  <si>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обоями: потолков</t>
  </si>
  <si>
    <t>ТЕРр61-1-11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</si>
  <si>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обоями: оконных и дверных откосов плоских</t>
  </si>
  <si>
    <t>ТЕРр61-1-12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</si>
  <si>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обоями: оконных и дверных откосов криволинейных</t>
  </si>
  <si>
    <t>Раздел 2. Ремонт штукатурки внутренних стен по камню и бетону отдельными местами</t>
  </si>
  <si>
    <t>ТЕРр61-2-1</t>
  </si>
  <si>
    <t>Ремонт штукатурки внутренних стен по камню известковым раствором площадью отдельных мест: до 1 м2 толщиной слоя до 20 мм</t>
  </si>
  <si>
    <t>ТЕРр61-2-2</t>
  </si>
  <si>
    <t>Ремонт штукатурки внутренних стен по камню известковым раствором площадью отдельных мест: на каждые следующие 10 мм толщины слоя добавлять к расценке 61-2-1</t>
  </si>
  <si>
    <t>ТЕРр61-2-3</t>
  </si>
  <si>
    <t>Ремонт штукатурки внутренних стен по камню известковым раствором площадью отдельных мест: до 10 м2 толщиной слоя до 20 мм</t>
  </si>
  <si>
    <t>ТЕРр61-2-4</t>
  </si>
  <si>
    <t>Ремонт штукатурки внутренних стен по камню известковым раствором площадью отдельных мест: на каждые следующие 10 мм толщины слоя добавлять к расценке 61-2-3</t>
  </si>
  <si>
    <t>ТЕРр61-2-5</t>
  </si>
  <si>
    <t>Ремонт штукатурки внутренних стен по камню известковым раствором площадью отдельных мест: более 10 м2 толщиной слоя до 20 мм</t>
  </si>
  <si>
    <t>ТЕРр61-2-6</t>
  </si>
  <si>
    <t>Ремонт штукатурки внутренних стен по камню известковым раствором площадью отдельных мест: на каждые следующие 10 мм толщины слоя добавлять к расценке 61-2-5</t>
  </si>
  <si>
    <t>ТЕРр61-2-7</t>
  </si>
  <si>
    <t>Ремонт штукатурки внутренних стен по камню и бетону цементно-известковым раствором, площадью отдельных мест: до 1 м2 толщиной слоя до 20 мм</t>
  </si>
  <si>
    <t>ТЕРр61-2-8</t>
  </si>
  <si>
    <t>Ремонт штукатурки внутренних стен по камню и бетону цементно-известковым раствором, площадью отдельных мест: на каждые следующие 10 мм толщины слоя добавлять к расценке 61-2-7</t>
  </si>
  <si>
    <t>ТЕРр61-2-9</t>
  </si>
  <si>
    <t>Ремонт штукатурки внутренних стен по камню и бетону цементно-известковым раствором, площадью отдельных мест: до 10 м2 толщиной слоя до 20 мм</t>
  </si>
  <si>
    <t>ТЕРр61-2-10</t>
  </si>
  <si>
    <t>Ремонт штукатурки внутренних стен по камню и бетону цементно-известковым раствором, площадью отдельных мест: на каждые следующие 10 мм толщины слоя добавлять к расценке 61-2-9</t>
  </si>
  <si>
    <t>ТЕРр61-2-11</t>
  </si>
  <si>
    <t>Ремонт штукатурки внутренних стен по камню и бетону цементно-известковым раствором, площадью отдельных мест: более 10 м2 толщиной слоя до 20 мм</t>
  </si>
  <si>
    <t>ТЕРр61-2-12</t>
  </si>
  <si>
    <t>Ремонт штукатурки внутренних стен по камню и бетону цементно-известковым раствором, площадью отдельных мест: на каждые следующие 10 мм толщины слоя добавлять к расценке 61-2-11</t>
  </si>
  <si>
    <t>Раздел 3. Ремонт штукатурки внутренних стен по дереву отдельными местами</t>
  </si>
  <si>
    <t>ТЕРр61-3-1</t>
  </si>
  <si>
    <t>Ремонт штукатурки внутренних стен по дереву известково-алебастровым раствором площадью отдельных мест: до 1 м2 толщиной слоя до 25 мм</t>
  </si>
  <si>
    <t>ТЕРр61-3-2</t>
  </si>
  <si>
    <t>Ремонт штукатурки внутренних стен по дереву известково-алебастровым раствором площадью отдельных мест: на каждые следующие 10 мм толщины слоя добавлять к расценке 61-3-1</t>
  </si>
  <si>
    <t>ТЕРр61-3-3</t>
  </si>
  <si>
    <t>Ремонт штукатурки внутренних стен по дереву известково-алебастровым раствором площадью отдельных мест: до 10 м2 толщиной слоя до 25 мм</t>
  </si>
  <si>
    <t>ТЕРр61-3-4</t>
  </si>
  <si>
    <t>Ремонт штукатурки внутренних стен по дереву известково-алебастровым раствором площадью отдельных мест: на каждые следующие 10 мм толщины слоя добавлять к расценке 61-3-3</t>
  </si>
  <si>
    <t>ТЕРр61-3-5</t>
  </si>
  <si>
    <t>Ремонт штукатурки внутренних стен по дереву известково-алебастровым раствором площадью отдельных мест: более 10 м2 толщиной слоя до 25 мм</t>
  </si>
  <si>
    <t>ТЕРр61-3-6</t>
  </si>
  <si>
    <t>Ремонт штукатурки внутренних стен по дереву известково-алебастровым раствором площадью отдельных мест: на каждые следующие 10 мм толщины слоя добавлять к расценке 61-3-5</t>
  </si>
  <si>
    <t>Раздел 4. Ремонт штукатурки потолков по камню и бетону отдельными местами</t>
  </si>
  <si>
    <t>ТЕРр61-4-1</t>
  </si>
  <si>
    <t>Ремонт штукатурки потолков по камню известковым раствором площадью отдельных мест: до 1 м2 толщиной слоя до 20 мм</t>
  </si>
  <si>
    <t>ТЕРр61-4-2</t>
  </si>
  <si>
    <t>Ремонт штукатурки потолков по камню известковым раствором площадью отдельных мест: на каждые следующие 10 мм толщины слоя добавлять к расценке 61-4-1</t>
  </si>
  <si>
    <t>ТЕРр61-4-3</t>
  </si>
  <si>
    <t>Ремонт штукатурки потолков по камню известковым раствором площадью отдельных мест: до 10 м2 толщиной слоя до 20 мм</t>
  </si>
  <si>
    <t>ТЕРр61-4-4</t>
  </si>
  <si>
    <t>Ремонт штукатурки потолков по камню известковым раствором площадью отдельных мест: на каждые следующие 10 мм толщины слоя добавлять к расценке 61-4-3</t>
  </si>
  <si>
    <t>ТЕРр61-4-5</t>
  </si>
  <si>
    <t>Ремонт штукатурки потолков по камню известковым раствором площадью отдельных мест: более 10 м2 толщиной слоя до 20 мм</t>
  </si>
  <si>
    <t>ТЕРр61-4-6</t>
  </si>
  <si>
    <t>Ремонт штукатурки потолков по камню известковым раствором площадью отдельных мест: на каждые следующие 10 мм толщины слоя добавлять к расценке 61-4-5</t>
  </si>
  <si>
    <t>ТЕРр61-4-7</t>
  </si>
  <si>
    <t>Ремонт штукатурки потолков по камню и бетону цементно-известковым раствором, площадью отдельных мест: до 1 м2 толщиной слоя до 20 мм</t>
  </si>
  <si>
    <t>ТЕРр61-4-8</t>
  </si>
  <si>
    <t>Ремонт штукатурки потолков по камню и бетону цементно-известковым раствором, площадью отдельных мест: на каждые следующие 10 мм толщины слоя добавлять к расценке 61-4-7</t>
  </si>
  <si>
    <t>ТЕРр61-4-9</t>
  </si>
  <si>
    <t>Ремонт штукатурки потолков по камню и бетону цементно-известковым раствором, площадью отдельных мест: до 10 м2 толщиной слоя до 20 мм</t>
  </si>
  <si>
    <t>ТЕРр61-4-10</t>
  </si>
  <si>
    <t>Ремонт штукатурки потолков по камню и бетону цементно-известковым раствором, площадью отдельных мест: на каждые следующие 10 мм толщины слоя добавлять к расценке 61-4-9</t>
  </si>
  <si>
    <t>ТЕРр61-4-11</t>
  </si>
  <si>
    <t>Ремонт штукатурки потолков по камню и бетону цементно-известковым раствором, площадью отдельных мест: более 10 м2 толщиной слоя до 20 мм</t>
  </si>
  <si>
    <t>ТЕРр61-4-12</t>
  </si>
  <si>
    <t>Ремонт штукатурки потолков по камню и бетону цементно-известковым раствором, площадью отдельных мест: на каждые следующие 10 мм толщины слоя добавлять к расценке 61-4-11</t>
  </si>
  <si>
    <t>Раздел 5. Ремонт штукатурки потолков по дереву отдельными местами</t>
  </si>
  <si>
    <t>ТЕРр61-5-1</t>
  </si>
  <si>
    <t>Ремонт штукатурки потолков по дереву известково-алебастровым раствором площадью отдельных мест: до 1 м2 толщиной слоя до 25 мм</t>
  </si>
  <si>
    <t>ТЕРр61-5-2</t>
  </si>
  <si>
    <t>Ремонт штукатурки потолков по дереву известково-алебастровым раствором площадью отдельных мест: на каждые следующие 10 мм толщины слоя добавлять к расценке 61-5-1</t>
  </si>
  <si>
    <t>ТЕРр61-5-3</t>
  </si>
  <si>
    <t>Ремонт штукатурки потолков по дереву известково-алебастровым раствором площадью отдельных мест: до 10 м2 толщиной слоя до 25 мм</t>
  </si>
  <si>
    <t>ТЕРр61-5-4</t>
  </si>
  <si>
    <t>Ремонт штукатурки потолков по дереву известково-алебастровым раствором площадью отдельных мест: на каждые следующие 10 мм толщины слоя добавлять к расценке 61-5-3</t>
  </si>
  <si>
    <t>ТЕРр61-5-5</t>
  </si>
  <si>
    <t>Ремонт штукатурки потолков по дереву известково-алебастровым раствором площадью отдельных мест: более 10 м2 толщиной слоя до 25 мм</t>
  </si>
  <si>
    <t>ТЕРр61-5-6</t>
  </si>
  <si>
    <t>Ремонт штукатурки потолков по дереву известково-алебастровым раствором площадью отдельных мест: на каждые следующие 10 мм толщины слоя добавлять к расценке 61-5-5</t>
  </si>
  <si>
    <t>Раздел 6. Ремонт штукатурки столбов и пилястр внутри здания</t>
  </si>
  <si>
    <t>ТЕРр61-6-1</t>
  </si>
  <si>
    <t>Ремонт штукатурки столбов и пилястр внутри здания по камню и бетону: известковым раствором толщиной слоя до 20 мм</t>
  </si>
  <si>
    <t>ТЕРр61-6-2</t>
  </si>
  <si>
    <t>Ремонт штукатурки столбов и пилястр внутри здания по камню и бетону: на каждые следующие 10 мм толщины слоя добавлять к расценке 61-6-1</t>
  </si>
  <si>
    <t>ТЕРр61-6-3</t>
  </si>
  <si>
    <t>Ремонт штукатурки столбов и пилястр внутри здания по камню и бетону: цементно-известковым раствором толщиной слоя до 20 мм</t>
  </si>
  <si>
    <t>ТЕРр61-6-4</t>
  </si>
  <si>
    <t>Ремонт штукатурки столбов и пилястр внутри здания по камню и бетону: на каждые следующие 10 мм толщины слоя добавлять к расценке 61-6-3</t>
  </si>
  <si>
    <t>ТЕРр61-6-5</t>
  </si>
  <si>
    <t>Ремонт штукатурки столбов и пилястр внутри здания, по дереву известково-алебастровым раствором: толщиной слоя до 20 мм</t>
  </si>
  <si>
    <t>ТЕРр61-6-6</t>
  </si>
  <si>
    <t>Ремонт штукатурки столбов и пилястр внутри здания, по дереву известково-алебастровым раствором: на каждые следующие 10 мм толщины слоя добавлять к расценке 61-6-5</t>
  </si>
  <si>
    <t>Раздел 7. Ремонт штукатурки откосов внутри здания</t>
  </si>
  <si>
    <t>ТЕРр61-7-1</t>
  </si>
  <si>
    <t>Ремонт штукатурки откосов внутри здания по камню и бетону цементно-известковым раствором: прямолинейных</t>
  </si>
  <si>
    <t>ТЕРр61-7-2</t>
  </si>
  <si>
    <t>Ремонт штукатурки откосов внутри здания по камню и бетону цементно-известковым раствором: криволинейных</t>
  </si>
  <si>
    <t>ТЕРр61-7-3</t>
  </si>
  <si>
    <t>Ремонт штукатурки откосов внутри здания по дереву известково-алебастровым раствором: прямолинейных</t>
  </si>
  <si>
    <t>ТЕРр61-7-4</t>
  </si>
  <si>
    <t>Ремонт штукатурки откосов внутри здания по дереву известково-алебастровым раствором: криволинейных</t>
  </si>
  <si>
    <t>Раздел 8. Ремонт штукатурки тяг и карнизов внутри здания</t>
  </si>
  <si>
    <t>ТЕРр61-8-1</t>
  </si>
  <si>
    <t>Ремонт штукатурки тяг и карнизов внутри здания по камню и бетону цементно-известковым раствором: горизонтальных длиной до 5 м</t>
  </si>
  <si>
    <t>ТЕРр61-8-2</t>
  </si>
  <si>
    <t>Ремонт штукатурки тяг и карнизов внутри здания по камню и бетону цементно-известковым раствором: горизонтальных длиной до 10 м</t>
  </si>
  <si>
    <t>ТЕРр61-8-3</t>
  </si>
  <si>
    <t>Ремонт штукатурки тяг и карнизов внутри здания по камню и бетону цементно-известковым раствором: вертикальных длиной до 5 м</t>
  </si>
  <si>
    <t>ТЕРр61-8-4</t>
  </si>
  <si>
    <t>Ремонт штукатурки тяг и карнизов внутри здания по камню и бетону цементно-известковым раствором: вертикальных длиной до 10 м</t>
  </si>
  <si>
    <t>ТЕРр61-8-5</t>
  </si>
  <si>
    <t>Ремонт штукатурки тяг и карнизов внутри здания по дереву известково-алебастровым раствором: горизонтальных длиной до 5 м</t>
  </si>
  <si>
    <t>ТЕРр61-8-6</t>
  </si>
  <si>
    <t>Ремонт штукатурки тяг и карнизов внутри здания по дереву известково-алебастровым раствором: горизонтальных длиной до 10 м</t>
  </si>
  <si>
    <t>ТЕРр61-8-7</t>
  </si>
  <si>
    <t>Ремонт штукатурки тяг и карнизов внутри здания по дереву известково-алебастровым раствором: вертикальных длиной до 5 м</t>
  </si>
  <si>
    <t>ТЕРр61-8-8</t>
  </si>
  <si>
    <t>Ремонт штукатурки тяг и карнизов внутри здания по дереву известково-алебастровым раствором: вертикальных длиной до 10 м</t>
  </si>
  <si>
    <t>Раздел 9. Ремонт штукатурки лестничных маршей и площадок</t>
  </si>
  <si>
    <t>ТЕРр61-9-1</t>
  </si>
  <si>
    <t>Ремонт штукатурки лестничных маршей и площадок</t>
  </si>
  <si>
    <t>Раздел 10. Ремонт штукатурки гладких фасадов по камню и бетону с земли и лесов</t>
  </si>
  <si>
    <t>ТЕРр61-10-1</t>
  </si>
  <si>
    <t>Ремонт штукатурки гладких фасадов по камню и бетону с земли и лесов: цементно-известковым раствором площадью отдельных мест до 5 м2 толщиной слоя до 20 мм</t>
  </si>
  <si>
    <t>ТЕРр61-10-2</t>
  </si>
  <si>
    <t>Ремонт штукатурки гладких фасадов по камню и бетону с земли и лесов: на каждые следующие 10 мм толщины слоя добавлять к расценке 61-10-1</t>
  </si>
  <si>
    <t>ТЕРр61-10-3</t>
  </si>
  <si>
    <t>Ремонт штукатурки гладких фасадов по камню и бетону с земли и лесов: цементно-известковым раствором площадью отдельных мест более 5 м2 толщиной слоя до 20 мм</t>
  </si>
  <si>
    <t>ТЕРр61-10-4</t>
  </si>
  <si>
    <t>Ремонт штукатурки гладких фасадов по камню и бетону с земли и лесов: на каждые следующие 10 мм толщины слоя добавлять к расценке 61-10-3</t>
  </si>
  <si>
    <t>ТЕРр61-10-5</t>
  </si>
  <si>
    <t>Ремонт штукатурки гладких фасадов по камню и бетону с земли и лесов: декоративным раствором площадью отдельных мест до 5 м2 толщиной слоя 30 мм</t>
  </si>
  <si>
    <t>ТЕРр61-10-6</t>
  </si>
  <si>
    <t>Ремонт штукатурки гладких фасадов по камню и бетону с земли и лесов: декоративным раствором площадью отдельных мест более 5 м2 толщиной слоя 30 мм</t>
  </si>
  <si>
    <t>Раздел 11. Ремонт штукатурки гладких фасадов по камню и бетону с лестниц</t>
  </si>
  <si>
    <t>ТЕРр61-11-1</t>
  </si>
  <si>
    <t>Ремонт штукатурки гладких фасадов по камню и бетону с лестниц: цементно-известковым раствором площадью отдельных мест до 5 м2 толщиной слоя до 20 мм</t>
  </si>
  <si>
    <t>ТЕРр61-11-2</t>
  </si>
  <si>
    <t>Ремонт штукатурки гладких фасадов по камню и бетону с лестниц: на каждые следующие 10 мм толщины слоя добавлять к расценке 61-11-1</t>
  </si>
  <si>
    <t>ТЕРр61-11-3</t>
  </si>
  <si>
    <t>Ремонт штукатурки гладких фасадов по камню и бетону с лестниц: цементно-известковым раствором площадью отдельных мест более 5 м2 толщиной слоя до 20 мм</t>
  </si>
  <si>
    <t>ТЕРр61-11-4</t>
  </si>
  <si>
    <t>Ремонт штукатурки гладких фасадов по камню и бетону с лестниц: на каждые следующие 10 мм толщины слоя добавлять к расценке 61-11-3</t>
  </si>
  <si>
    <t>ТЕРр61-11-5</t>
  </si>
  <si>
    <t>Ремонт штукатурки гладких фасадов по камню и бетону с лестниц: декоративным раствором площадью отдельных мест до 5 м2 толщиной слоя 30 мм</t>
  </si>
  <si>
    <t>ТЕРр61-11-6</t>
  </si>
  <si>
    <t>Ремонт штукатурки гладких фасадов по камню и бетону с лестниц: декоративным раствором площадью отдельных мест более 5 м2 толщиной слоя 30 мм</t>
  </si>
  <si>
    <t>Раздел 12. Ремонт штукатурки гладких фасадов по камню и бетону с люлек</t>
  </si>
  <si>
    <t>ТЕРр61-12-1</t>
  </si>
  <si>
    <t>Ремонт штукатурки гладких фасадов по камню и бетону с люлек: цементно-известковым раствором площадью отдельных мест до 5 м2 толщиной слоя до 20 мм</t>
  </si>
  <si>
    <t>ТЕРр61-12-2</t>
  </si>
  <si>
    <t>Ремонт штукатурки гладких фасадов по камню и бетону с люлек: на каждые следующие 10 мм толщины слоя добавлять к расценке 61-12-1</t>
  </si>
  <si>
    <t>ТЕРр61-12-3</t>
  </si>
  <si>
    <t>Ремонт штукатурки гладких фасадов по камню и бетону с люлек: цементно-известковым раствором площадью отдельных мест более 5 м2 толщиной слоя до 20 мм</t>
  </si>
  <si>
    <t>ТЕРр61-12-4</t>
  </si>
  <si>
    <t>Ремонт штукатурки гладких фасадов по камню и бетону с люлек: на каждые следующие 10 мм толщины слоя добавлять к расценке 61-12-3</t>
  </si>
  <si>
    <t>ТЕРр61-12-5</t>
  </si>
  <si>
    <t>Ремонт штукатурки гладких фасадов по камню и бетону с люлек: декоративным раствором площадью отдельных мест до 5 м2 толщиной слоя 30 мм</t>
  </si>
  <si>
    <t>ТЕРр61-12-6</t>
  </si>
  <si>
    <t>Ремонт штукатурки гладких фасадов по камню и бетону с люлек: декоративным раствором площадью отдельных мест более 5 м2 толщиной слоя 30 мм</t>
  </si>
  <si>
    <t>Раздел 13. Ремонт штукатурки рустованных фасадов по камню и бетону с земли и лесов</t>
  </si>
  <si>
    <t>ТЕРр61-13-1</t>
  </si>
  <si>
    <t>Ремонт штукатурки рустованных фасадов по камню и бетону с земли и лесов: цементно-известковым раствором площадью отдельных мест до 5 м2 толщиной слоя до 40 мм</t>
  </si>
  <si>
    <t>ТЕРр61-13-2</t>
  </si>
  <si>
    <t>Ремонт штукатурки рустованных фасадов по камню и бетону с земли и лесов: на каждые следующие 10 мм толщины слоя добавлять к расценке 61-13-1</t>
  </si>
  <si>
    <t>ТЕРр61-13-3</t>
  </si>
  <si>
    <t>Ремонт штукатурки рустованных фасадов по камню и бетону с земли и лесов: цементно-известковым раствором площадью отдельных мест более 5 м2 толщиной слоя до 40 мм</t>
  </si>
  <si>
    <t>ТЕРр61-13-4</t>
  </si>
  <si>
    <t>Ремонт штукатурки рустованных фасадов по камню и бетону с земли и лесов: на каждые следующие 10 мм толщины слоя добавлять к расценке 61-13-3</t>
  </si>
  <si>
    <t>ТЕРр61-13-5</t>
  </si>
  <si>
    <t>Ремонт штукатурки рустованных фасадов по камню и бетону с земли и лесов: декоративным раствором площадью отдельных мест до 5 м2 толщиной слоя до 40 мм</t>
  </si>
  <si>
    <t>ТЕРр61-13-6</t>
  </si>
  <si>
    <t>Ремонт штукатурки рустованных фасадов по камню и бетону с земли и лесов: декоративным раствором площадью отдельных мест более 5 м2 толщиной слоя до 40 мм</t>
  </si>
  <si>
    <t>ТЕРр61-13-7</t>
  </si>
  <si>
    <t>Ремонт штукатурки рустованных фасадов по камню и бетону с земли и лесов: на каждые 100 м рустов сверх 400 м, предусмотренных расценкой, добавлять к расценкам 61-13-1 и 61-13-3</t>
  </si>
  <si>
    <t>ТЕРр61-13-8</t>
  </si>
  <si>
    <t>Ремонт штукатурки рустованных фасадов по камню и бетону с земли и лесов: на каждые 100 м рустов сверх 400 м, предусмотренных расценкой, добавлять к расценкам 61-13-5 и 61-13-6</t>
  </si>
  <si>
    <t>Раздел 14. Ремонт штукатурки рустованных фасадов по камню и бетону с лестниц</t>
  </si>
  <si>
    <t>ТЕРр61-14-1</t>
  </si>
  <si>
    <t>Ремонт штукатурки рустованных фасадов по камню и бетону с лестниц: цементно-известковым раствором площадью отдельных мест до 5 м2 толщиной слоя до 40 мм</t>
  </si>
  <si>
    <t>ТЕРр61-14-2</t>
  </si>
  <si>
    <t>Ремонт штукатурки рустованных фасадов по камню и бетону с лестниц: на каждые следующие 10 мм толщины слоя добавлять к расценке 61-14-1</t>
  </si>
  <si>
    <t>ТЕРр61-14-3</t>
  </si>
  <si>
    <t>Ремонт штукатурки рустованных фасадов по камню и бетону с лестниц: цементно-известковым раствором площадью отдельных мест более 5 м2 толщиной слоя до 40 мм</t>
  </si>
  <si>
    <t>ТЕРр61-14-4</t>
  </si>
  <si>
    <t>Ремонт штукатурки рустованных фасадов по камню и бетону с лестниц: на каждые следующие 10 мм толщины слоя добавлять к расценке 61-14-3</t>
  </si>
  <si>
    <t>ТЕРр61-14-5</t>
  </si>
  <si>
    <t>Ремонт штукатурки рустованных фасадов по камню и бетону с лестниц: декоративным раствором площадью отдельных мест до 5 м2 толщиной слоя до 40 мм</t>
  </si>
  <si>
    <t>ТЕРр61-14-6</t>
  </si>
  <si>
    <t>Ремонт штукатурки рустованных фасадов по камню и бетону с лестниц: декоративным раствором площадью отдельных мест более 5 м2 толщиной слоя до 40 мм</t>
  </si>
  <si>
    <t>ТЕРр61-14-7</t>
  </si>
  <si>
    <t>Ремонт штукатурки рустованных фасадов по камню и бетону с лестниц: на каждые 100 м рустов сверх 400 м, предусмотренных расценкой, добавлять к расценкам 61-14-1 и 61-14-3</t>
  </si>
  <si>
    <t>ТЕРр61-14-8</t>
  </si>
  <si>
    <t>Ремонт штукатурки рустованных фасадов по камню и бетону с лестниц: на каждые 100 м рустов сверх 400 м, предусмотренных расценкой, добавлять к расценкам 61-14-5 и 61-14-6</t>
  </si>
  <si>
    <t>Раздел 15. Ремонт штукатурки рустованных фасадов по камню и бетону с люлек</t>
  </si>
  <si>
    <t>ТЕРр61-15-1</t>
  </si>
  <si>
    <t>Ремонт штукатурки рустованных фасадов по камню и бетону с люлек: цементно-известковым раствором площадью отдельных мест до 5 м2 толщиной слоя до 40 мм</t>
  </si>
  <si>
    <t>ТЕРр61-15-2</t>
  </si>
  <si>
    <t>Ремонт штукатурки рустованных фасадов по камню и бетону с люлек: на каждые следующие 10 мм толщины слоя добавлять к расценке 61-15-1</t>
  </si>
  <si>
    <t>ТЕРр61-15-3</t>
  </si>
  <si>
    <t>Ремонт штукатурки рустованных фасадов по камню и бетону с люлек: цементно-известковым раствором площадью отдельных мест более 5 м2 толщиной слоя до 40 мм</t>
  </si>
  <si>
    <t>ТЕРр61-15-4</t>
  </si>
  <si>
    <t>Ремонт штукатурки рустованных фасадов по камню и бетону с люлек: на каждые следующие 10 мм толщины слоя добавлять к расценке 61-15-3</t>
  </si>
  <si>
    <t>ТЕРр61-15-5</t>
  </si>
  <si>
    <t>Ремонт штукатурки рустованных фасадов по камню и бетону с люлек: декоративным раствором площадью отдельных мест до 5 м2 толщиной слоя до 40 мм</t>
  </si>
  <si>
    <t>ТЕРр61-15-6</t>
  </si>
  <si>
    <t>Ремонт штукатурки рустованных фасадов по камню и бетону с люлек: декоративным раствором площадью отдельных мест более 5 м2 толщиной слоя до 40 мм</t>
  </si>
  <si>
    <t>ТЕРр61-15-7</t>
  </si>
  <si>
    <t>Ремонт штукатурки рустованных фасадов по камню и бетону с люлек: на каждые 100 м рустов сверх 400 м, предусмотренных расценкой, добавлять к расценкам 61-15-1 и 61-15-3</t>
  </si>
  <si>
    <t>ТЕРр61-15-8</t>
  </si>
  <si>
    <t>Ремонт штукатурки рустованных фасадов по камню и бетону с люлек: на каждые 100 м рустов сверх 400 м, предусмотренных расценкой, добавлять к расценкам 61-15-5 и 61-15-6</t>
  </si>
  <si>
    <t>Раздел 16. Ремонт штукатурки гладких фасадов по дереву известковым раствором</t>
  </si>
  <si>
    <t>ТЕРр61-16-1</t>
  </si>
  <si>
    <t>Ремонт штукатурки гладких фасадов по дереву известковым раствором с земли и лесов, площадью отдельных мест: до 5 м2 толщиной слоя до 25 мм</t>
  </si>
  <si>
    <t>ТЕРр61-16-2</t>
  </si>
  <si>
    <t>Ремонт штукатурки гладких фасадов по дереву известковым раствором с земли и лесов, площадью отдельных мест: на каждые следующие 10 мм толщины слоя добавлять к расценке 61-16-1</t>
  </si>
  <si>
    <t>ТЕРр61-16-3</t>
  </si>
  <si>
    <t>Ремонт штукатурки гладких фасадов по дереву известковым раствором с земли и лесов, площадью отдельных мест: более 5 м2 толщиной слоя до 25 мм</t>
  </si>
  <si>
    <t>ТЕРр61-16-4</t>
  </si>
  <si>
    <t>Ремонт штукатурки гладких фасадов по дереву известковым раствором с земли и лесов, площадью отдельных мест: на каждые следующие 10 мм толщины слоя добавлять к расценке 61-16-3</t>
  </si>
  <si>
    <t>ТЕРр61-16-5</t>
  </si>
  <si>
    <t>Ремонт штукатурки гладких фасадов по дереву известковым раствором с приставных лестниц, площадью отдельных мест: до 5 м2 толщиной слоя до 25 мм</t>
  </si>
  <si>
    <t>ТЕРр61-16-6</t>
  </si>
  <si>
    <t>Ремонт штукатурки гладких фасадов по дереву известковым раствором с приставных лестниц, площадью отдельных мест: на каждые следующие 10 мм толщины слоя добавлять к расценке 61-16-5</t>
  </si>
  <si>
    <t>ТЕРр61-16-7</t>
  </si>
  <si>
    <t>Ремонт штукатурки гладких фасадов по дереву известковым раствором с приставных лестниц, площадью отдельных мест: более 5 м2 толщиной слоя до 25 мм</t>
  </si>
  <si>
    <t>ТЕРр61-16-8</t>
  </si>
  <si>
    <t>Ремонт штукатурки гладких фасадов по дереву известковым раствором с приставных лестниц, площадью отдельных мест: на каждые следующие 10 мм толщины слоя добавлять к расценке 61-16-7</t>
  </si>
  <si>
    <t>ТЕРр61-16-9</t>
  </si>
  <si>
    <t>Ремонт штукатурки гладких фасадов по дереву известковым раствором с люлек площадью отдельных мест: до 5 м2 толщиной слоя до 25 мм</t>
  </si>
  <si>
    <t>ТЕРр61-16-10</t>
  </si>
  <si>
    <t>Ремонт штукатурки гладких фасадов по дереву известковым раствором с люлек площадью отдельных мест: на каждые следующие 10 мм толщины слоя добавлять к расценке 61-16-9</t>
  </si>
  <si>
    <t>ТЕРр61-16-11</t>
  </si>
  <si>
    <t>Ремонт штукатурки гладких фасадов по дереву известковым раствором с люлек площадью отдельных мест: более 5 м2 толщиной слоя до 25 мм</t>
  </si>
  <si>
    <t>ТЕРр61-16-12</t>
  </si>
  <si>
    <t>Ремонт штукатурки гладких фасадов по дереву известковым раствором с люлек площадью отдельных мест: на каждые следующие 10 мм толщины слоя добавлять к расценке 61-16-11</t>
  </si>
  <si>
    <t>Раздел 17. Ремонт штукатурки наружных столбов, прямоугольных колонн и пилястр с земли и лесов</t>
  </si>
  <si>
    <t>ТЕРр61-17-1</t>
  </si>
  <si>
    <t>Ремонт штукатурки наружных столбов, прямоугольных колонн и пилястр с земли и лесов по камню и бетону: цементно-известковым раствором гладких толщиной слоя до 20 мм</t>
  </si>
  <si>
    <t>ТЕРр61-17-2</t>
  </si>
  <si>
    <t>Ремонт штукатурки наружных столбов, прямоугольных колонн и пилястр с земли и лесов по камню и бетону: на каждые следующие 10 мм толщины слоя добавлять к расценке 61-17-1</t>
  </si>
  <si>
    <t>ТЕРр61-17-3</t>
  </si>
  <si>
    <t>Ремонт штукатурки наружных столбов, прямоугольных колонн и пилястр с земли и лесов по камню и бетону: цементно-известковым раствором с каннелюрами толщиной слоя до 40 мм</t>
  </si>
  <si>
    <t>ТЕРр61-17-4</t>
  </si>
  <si>
    <t>Ремонт штукатурки наружных столбов, прямоугольных колонн и пилястр с земли и лесов по камню и бетону: на каждые следующие 10 мм толщины слоя добавлять к расценке 61-17-3</t>
  </si>
  <si>
    <t>ТЕРр61-17-5</t>
  </si>
  <si>
    <t>Ремонт штукатурки наружных столбов, прямоугольных колонн и пилястр с земли и лесов по камню и бетону: цементно-известковым раствором с рустами толщиной слоя до 40 мм</t>
  </si>
  <si>
    <t>ТЕРр61-17-6</t>
  </si>
  <si>
    <t>Ремонт штукатурки наружных столбов, прямоугольных колонн и пилястр с земли и лесов по камню и бетону: на каждые 100 м рустов сверх 400 м, предусмотренных расценкой, добавлять к расценке 61-17-5</t>
  </si>
  <si>
    <t>ТЕРр61-17-7</t>
  </si>
  <si>
    <t>Ремонт штукатурки наружных столбов, прямоугольных колонн и пилястр с земли и лесов по камню и бетону: декоративным раствором гладких толщиной слоя до 30 мм</t>
  </si>
  <si>
    <t>ТЕРр61-17-8</t>
  </si>
  <si>
    <t>Ремонт штукатурки наружных столбов, прямоугольных колонн и пилястр с земли и лесов по камню и бетону: декоративным раствором с рустами толщиной слоя до 40 мм</t>
  </si>
  <si>
    <t>ТЕРр61-17-9</t>
  </si>
  <si>
    <t>Ремонт штукатурки наружных столбов, прямоугольных колонн и пилястр с земли и лесов по камню и бетону: декоративным раствором с каннелюрами толщиной слоя до 40 мм</t>
  </si>
  <si>
    <t>ТЕРр61-17-10</t>
  </si>
  <si>
    <t>Ремонт штукатурки наружных столбов, прямоугольных колонн и пилястр с земли и лесов по камню и бетону: на каждые 100 м рустов сверх 400 м, предусмотренных расценкой, добавлять к расценке 61-17-8</t>
  </si>
  <si>
    <t>ТЕРр61-17-11</t>
  </si>
  <si>
    <t>Ремонт штукатурки наружных столбов, прямоугольных колонн и пилястр с земли и лесов по дереву: известковым раствором гладких толщиной слоя до 25 мм</t>
  </si>
  <si>
    <t>ТЕРр61-17-12</t>
  </si>
  <si>
    <t>Ремонт штукатурки наружных столбов, прямоугольных колонн и пилястр с земли и лесов по дереву: на каждые следующие 10 мм толщины слоя добавлять к расценке 61-17-11</t>
  </si>
  <si>
    <t>ТЕРр61-17-13</t>
  </si>
  <si>
    <t>Ремонт штукатурки наружных столбов, прямоугольных колонн и пилястр с земли и лесов по дереву: известковым раствором с каннелюрами толщиной слоя до 40 мм</t>
  </si>
  <si>
    <t>ТЕРр61-17-14</t>
  </si>
  <si>
    <t>Ремонт штукатурки наружных столбов, прямоугольных колонн и пилястр с земли и лесов по дереву: на каждые следующие 10 мм толщины слоя добавлять к расценке 61-17-13</t>
  </si>
  <si>
    <t>Раздел 18. Ремонт штукатурки наружных столбов, прямоугольных колонн и пилястр с лестниц</t>
  </si>
  <si>
    <t>ТЕРр61-18-1</t>
  </si>
  <si>
    <t>Ремонт штукатурки наружных столбов, прямоугольных колонн и пилястр с лестниц по камню и бетону: цементно-известковым раствором гладких толщиной слоя до 20 мм</t>
  </si>
  <si>
    <t>ТЕРр61-18-2</t>
  </si>
  <si>
    <t>Ремонт штукатурки наружных столбов, прямоугольных колонн и пилястр с лестниц по камню и бетону: на каждые следующие 10 мм толщины слоя добавлять к расценке 61-18-1</t>
  </si>
  <si>
    <t>ТЕРр61-18-3</t>
  </si>
  <si>
    <t>Ремонт штукатурки наружных столбов, прямоугольных колонн и пилястр с лестниц по камню и бетону: цементно-известковым раствором с каннелюрами толщиной слоя до 40 мм</t>
  </si>
  <si>
    <t>ТЕРр61-18-4</t>
  </si>
  <si>
    <t>Ремонт штукатурки наружных столбов, прямоугольных колонн и пилястр с лестниц по камню и бетону: на каждые следующие 10 мм толщины слоя добавлять к расценке 61-18-3</t>
  </si>
  <si>
    <t>ТЕРр61-18-5</t>
  </si>
  <si>
    <t>Ремонт штукатурки наружных столбов, прямоугольных колонн и пилястр с лестниц по камню и бетону: цементно-известковым раствором с рустами толщиной слоя до 40 мм</t>
  </si>
  <si>
    <t>ТЕРр61-18-6</t>
  </si>
  <si>
    <t>Ремонт штукатурки наружных столбов, прямоугольных колонн и пилястр с лестниц по камню и бетону: на каждые 100 м рустов сверх 400 м, предусмотренных расценкой, добавлять к расценке 61-18-5</t>
  </si>
  <si>
    <t>ТЕРр61-18-7</t>
  </si>
  <si>
    <t>Ремонт штукатурки наружных столбов, прямоугольных колонн и пилястр с лестниц по камню и бетону: декоративным раствором гладких толщиной слоя до 30 мм</t>
  </si>
  <si>
    <t>ТЕРр61-18-8</t>
  </si>
  <si>
    <t>Ремонт штукатурки наружных столбов, прямоугольных колонн и пилястр с лестниц по камню и бетону: декоративным раствором с рустами толщиной слоя до 40 мм</t>
  </si>
  <si>
    <t>ТЕРр61-18-9</t>
  </si>
  <si>
    <t>Ремонт штукатурки наружных столбов, прямоугольных колонн и пилястр с лестниц по камню и бетону: декоративным раствором с каннелюрами толщиной слоя до 40 мм</t>
  </si>
  <si>
    <t>ТЕРр61-18-10</t>
  </si>
  <si>
    <t>Ремонт штукатурки наружных столбов, прямоугольных колонн и пилястр с лестниц по камню и бетону: на каждые 100 м рустов сверх 400 м, предусмотренных расценкой, добавлять к расценке 61-18-8</t>
  </si>
  <si>
    <t>ТЕРр61-18-11</t>
  </si>
  <si>
    <t>Ремонт штукатурки наружных столбов, прямоугольных колонн и пилястр с лестниц по дереву: известковым раствором гладких толщиной слоя до 25 мм</t>
  </si>
  <si>
    <t>ТЕРр61-18-12</t>
  </si>
  <si>
    <t>Ремонт штукатурки наружных столбов, прямоугольных колонн и пилястр с лестниц по дереву: на каждые следующие 10 мм толщины слоя добавлять к расценке 61-18-11</t>
  </si>
  <si>
    <t>ТЕРр61-18-13</t>
  </si>
  <si>
    <t>Ремонт штукатурки наружных столбов, прямоугольных колонн и пилястр с лестниц по дереву: известковым раствором с каннелюрами толщиной слоя до 40 мм</t>
  </si>
  <si>
    <t>ТЕРр61-18-14</t>
  </si>
  <si>
    <t>Ремонт штукатурки наружных столбов, прямоугольных колонн и пилястр с лестниц по дереву: на каждые следующие 10 мм толщины слоя добавлять к расценке 61-18-13</t>
  </si>
  <si>
    <t>Раздел 19. Ремонт штукатурки наружных столбов, прямоугольных колонн и пилястр с люлек</t>
  </si>
  <si>
    <t>ТЕРр61-19-1</t>
  </si>
  <si>
    <t>Ремонт штукатурки наружных столбов, прямоугольных колонн и пилястр с люлек по камню и бетону: цементно-известковым раствором гладких толщиной слоя до 20 мм</t>
  </si>
  <si>
    <t>ТЕРр61-19-2</t>
  </si>
  <si>
    <t>Ремонт штукатурки наружных столбов, прямоугольных колонн и пилястр с люлек по камню и бетону: на каждые следующие 10 мм толщины слоя добавлять к расценке 61-19-1</t>
  </si>
  <si>
    <t>ТЕРр61-19-3</t>
  </si>
  <si>
    <t>Ремонт штукатурки наружных столбов, прямоугольных колонн и пилястр с люлек по камню и бетону: цементно-известковым раствором с каннелюрами толщиной слоя до 40 мм</t>
  </si>
  <si>
    <t>ТЕРр61-19-4</t>
  </si>
  <si>
    <t>Ремонт штукатурки наружных столбов, прямоугольных колонн и пилястр с люлек по камню и бетону: на каждые следующие 10 мм толщины слоя добавлять к расценке 61-19-3</t>
  </si>
  <si>
    <t>ТЕРр61-19-5</t>
  </si>
  <si>
    <t>Ремонт штукатурки наружных столбов, прямоугольных колонн и пилястр с люлек по камню и бетону: цементно-известковым раствором с рустами толщиной слоя до 40 мм</t>
  </si>
  <si>
    <t>ТЕРр61-19-6</t>
  </si>
  <si>
    <t>Ремонт штукатурки наружных столбов, прямоугольных колонн и пилястр с люлек по камню и бетону: на каждые 100 м рустов сверх 400 м, предусмотренных расценкой, добавлять к расценке 61-19-5</t>
  </si>
  <si>
    <t>ТЕРр61-19-7</t>
  </si>
  <si>
    <t>Ремонт штукатурки наружных столбов, прямоугольных колонн и пилястр с люлек по камню и бетону: декоративным раствором гладких толщиной слоя до 30 мм</t>
  </si>
  <si>
    <t>ТЕРр61-19-8</t>
  </si>
  <si>
    <t>Ремонт штукатурки наружных столбов, прямоугольных колонн и пилястр с люлек по камню и бетону: декоративным раствором с рустами толщиной слоя до 40 мм</t>
  </si>
  <si>
    <t>ТЕРр61-19-9</t>
  </si>
  <si>
    <t>Ремонт штукатурки наружных столбов, прямоугольных колонн и пилястр с люлек по камню и бетону: декоративным раствором с каннелюрами толщиной слоя до 40 мм</t>
  </si>
  <si>
    <t>ТЕРр61-19-10</t>
  </si>
  <si>
    <t>Ремонт штукатурки наружных столбов, прямоугольных колонн и пилястр с люлек по камню и бетону: на каждые 100 м рустов сверх 400 м, предусмотренных расценкой, добавлять к расценке 68-19-8</t>
  </si>
  <si>
    <t>ТЕРр61-19-11</t>
  </si>
  <si>
    <t>Ремонт штукатурки наружных столбов, прямоугольных колонн и пилястр с люлек по дереву: известковым раствором гладких толщиной слоя до 25 мм</t>
  </si>
  <si>
    <t>ТЕРр61-19-12</t>
  </si>
  <si>
    <t>Ремонт штукатурки наружных столбов, прямоугольных колонн и пилястр с люлек по дереву: на каждые следующие 10 мм толщины слоя добавлять к расценке 61-19-11</t>
  </si>
  <si>
    <t>ТЕРр61-19-13</t>
  </si>
  <si>
    <t>Ремонт штукатурки наружных столбов, прямоугольных колонн и пилястр с люлек по дереву: известковым раствором с каннелюрами толщиной слоя до 40 мм</t>
  </si>
  <si>
    <t>ТЕРр61-19-14</t>
  </si>
  <si>
    <t>Ремонт штукатурки наружных столбов, прямоугольных колонн и пилястр с люлек по дереву: на каждые следующие 10 мм толщины слоя добавлять к расценке 61-19-13</t>
  </si>
  <si>
    <t>Раздел 20. Ремонт штукатурки наружных прямолинейных откосов</t>
  </si>
  <si>
    <t>ТЕРр61-20-1</t>
  </si>
  <si>
    <t>Ремонт штукатурки наружных прямолинейных откосов по камню и бетону цементно-известковым раствором: с земли и лесов</t>
  </si>
  <si>
    <t>ТЕРр61-20-2</t>
  </si>
  <si>
    <t>Ремонт штукатурки наружных прямолинейных откосов по камню и бетону цементно-известковым раствором: с лестниц</t>
  </si>
  <si>
    <t>ТЕРр61-20-3</t>
  </si>
  <si>
    <t>Ремонт штукатурки наружных прямолинейных откосов по камню и бетону цементно-известковым раствором: с люлек</t>
  </si>
  <si>
    <t>ТЕРр61-20-4</t>
  </si>
  <si>
    <t>Ремонт штукатурки наружных прямолинейных откосов по камню и бетону декоративным раствором: с земли и лесов</t>
  </si>
  <si>
    <t>ТЕРр61-20-5</t>
  </si>
  <si>
    <t>Ремонт штукатурки наружных прямолинейных откосов по камню и бетону декоративным раствором: с лестниц</t>
  </si>
  <si>
    <t>ТЕРр61-20-6</t>
  </si>
  <si>
    <t>Ремонт штукатурки наружных прямолинейных откосов по камню и бетону декоративным раствором: с люлек</t>
  </si>
  <si>
    <t>ТЕРр61-20-7</t>
  </si>
  <si>
    <t>Ремонт штукатурки наружных прямолинейных откосов по дереву цементно-известковым раствором: с земли и лесов</t>
  </si>
  <si>
    <t>ТЕРр61-20-8</t>
  </si>
  <si>
    <t>Ремонт штукатурки наружных прямолинейных откосов по дереву цементно-известковым раствором: с лестниц</t>
  </si>
  <si>
    <t>ТЕРр61-20-9</t>
  </si>
  <si>
    <t>Ремонт штукатурки наружных прямолинейных откосов по дереву цементно-известковым раствором: с люлек</t>
  </si>
  <si>
    <t>Раздел 21. Ремонт штукатурки наружных криволинейных откосов</t>
  </si>
  <si>
    <t>ТЕРр61-21-1</t>
  </si>
  <si>
    <t>Ремонт штукатурки наружных криволинейных откосов по камню и бетону цементно-известковым раствором: с земли и лесов</t>
  </si>
  <si>
    <t>ТЕРр61-21-2</t>
  </si>
  <si>
    <t>Ремонт штукатурки наружных криволинейных откосов по камню и бетону цементно-известковым раствором: с лестниц</t>
  </si>
  <si>
    <t>ТЕРр61-21-3</t>
  </si>
  <si>
    <t>Ремонт штукатурки наружных криволинейных откосов по камню и бетону цементно-известковым раствором: с люлек</t>
  </si>
  <si>
    <t>ТЕРр61-21-4</t>
  </si>
  <si>
    <t>Ремонт штукатурки наружных криволинейных откосов по камню и бетону декоративным раствором: с земли и лесов</t>
  </si>
  <si>
    <t>ТЕРр61-21-5</t>
  </si>
  <si>
    <t>Ремонт штукатурки наружных криволинейных откосов по камню и бетону декоративным раствором: с лестниц</t>
  </si>
  <si>
    <t>ТЕРр61-21-6</t>
  </si>
  <si>
    <t>Ремонт штукатурки наружных криволинейных откосов по камню и бетону декоративным раствором: с люлек</t>
  </si>
  <si>
    <t>ТЕРр61-21-7</t>
  </si>
  <si>
    <t>Ремонт штукатурки наружных криволинейных откосов по дереву цементно-известковым раствором: с земли и лесов</t>
  </si>
  <si>
    <t>ТЕРр61-21-8</t>
  </si>
  <si>
    <t>Ремонт штукатурки наружных криволинейных откосов по дереву цементно-известковым раствором: с лестниц</t>
  </si>
  <si>
    <t>ТЕРр61-21-9</t>
  </si>
  <si>
    <t>Ремонт штукатурки наружных криволинейных откосов по дереву цементно-известковым раствором: с люлек</t>
  </si>
  <si>
    <t>Раздел 22. Ремонт штукатурки наружных прямолинейных тяг</t>
  </si>
  <si>
    <t>ТЕРр61-22-1</t>
  </si>
  <si>
    <t>Ремонт штукатурки наружных прямолинейных горизонтальных тяг по камню и бетону цементно-известковым раствором длиной в одном месте: до 5 м с земли и лесов</t>
  </si>
  <si>
    <t>ТЕРр61-22-2</t>
  </si>
  <si>
    <t>Ремонт штукатурки наружных прямолинейных горизонтальных тяг по камню и бетону цементно-известковым раствором длиной в одном месте: до 5 м с лестниц</t>
  </si>
  <si>
    <t>ТЕРр61-22-3</t>
  </si>
  <si>
    <t>Ремонт штукатурки наружных прямолинейных горизонтальных тяг по камню и бетону цементно-известковым раствором длиной в одном месте: до 5 м с люлек</t>
  </si>
  <si>
    <t>ТЕРр61-22-4</t>
  </si>
  <si>
    <t>Ремонт штукатурки наружных прямолинейных горизонтальных тяг по камню и бетону цементно-известковым раствором длиной в одном месте: более 5 м с земли и лесов</t>
  </si>
  <si>
    <t>ТЕРр61-22-5</t>
  </si>
  <si>
    <t>Ремонт штукатурки наружных прямолинейных горизонтальных тяг по камню и бетону цементно-известковым раствором длиной в одном месте: более 5 м с лестниц</t>
  </si>
  <si>
    <t>ТЕРр61-22-6</t>
  </si>
  <si>
    <t>Ремонт штукатурки наружных прямолинейных горизонтальных тяг по камню и бетону цементно-известковым раствором длиной в одном месте: более 5 м с люлек</t>
  </si>
  <si>
    <t>ТЕРр61-22-7</t>
  </si>
  <si>
    <t>Ремонт штукатурки наружных прямолинейных вертикальных тяг по камню и бетону цементно-известковым раствором длиной в одном месте: до 5 м с земли и лесов</t>
  </si>
  <si>
    <t>ТЕРр61-22-8</t>
  </si>
  <si>
    <t>Ремонт штукатурки наружных прямолинейных вертикальных тяг по камню и бетону цементно-известковым раствором длиной в одном месте: до 5 м с лестниц</t>
  </si>
  <si>
    <t>ТЕРр61-22-9</t>
  </si>
  <si>
    <t>Ремонт штукатурки наружных прямолинейных вертикальных тяг по камню и бетону цементно-известковым раствором длиной в одном месте: до 5 м с люлек</t>
  </si>
  <si>
    <t>ТЕРр61-22-10</t>
  </si>
  <si>
    <t>Ремонт штукатурки наружных прямолинейных вертикальных тяг по камню и бетону цементно-известковым раствором длиной в одном месте: более 5 м с земли и лесов</t>
  </si>
  <si>
    <t>ТЕРр61-22-11</t>
  </si>
  <si>
    <t>Ремонт штукатурки наружных прямолинейных вертикальных тяг по камню и бетону цементно-известковым раствором длиной в одном месте: более 5 м с лестниц</t>
  </si>
  <si>
    <t>ТЕРр61-22-12</t>
  </si>
  <si>
    <t>Ремонт штукатурки наружных прямолинейных вертикальных тяг по камню и бетону цементно-известковым раствором длиной в одном месте: более 5 м с люлек</t>
  </si>
  <si>
    <t>ТЕРр61-22-13</t>
  </si>
  <si>
    <t>Ремонт штукатурки наружных прямолинейных горизонтальных тяг по дереву известковым раствором длиной в одном месте: до 5 м с земли и лесов</t>
  </si>
  <si>
    <t>ТЕРр61-22-14</t>
  </si>
  <si>
    <t>Ремонт штукатурки наружных прямолинейных горизонтальных тяг по дереву известковым раствором длиной в одном месте: до 5 м с лестниц</t>
  </si>
  <si>
    <t>ТЕРр61-22-15</t>
  </si>
  <si>
    <t>Ремонт штукатурки наружных прямолинейных горизонтальных тяг по дереву известковым раствором длиной в одном месте: до 5 м с люлек</t>
  </si>
  <si>
    <t>ТЕРр61-22-16</t>
  </si>
  <si>
    <t>Ремонт штукатурки наружных прямолинейных горизонтальных тяг по дереву известковым раствором длиной в одном месте: более 5 м с земли и лесов</t>
  </si>
  <si>
    <t>ТЕРр61-22-17</t>
  </si>
  <si>
    <t>Ремонт штукатурки наружных прямолинейных горизонтальных тяг по дереву известковым раствором длиной в одном месте: более 5 м с лестниц</t>
  </si>
  <si>
    <t>ТЕРр61-22-18</t>
  </si>
  <si>
    <t>Ремонт штукатурки наружных прямолинейных горизонтальных тяг по дереву известковым раствором длиной в одном месте: более 5 м с люлек</t>
  </si>
  <si>
    <t>ТЕРр61-22-19</t>
  </si>
  <si>
    <t>Ремонт штукатурки наружных прямолинейных горизонтальных тяг по камню и бетону декоративным раствором площадью в одном месте: до 5 м2 с земли и лесов</t>
  </si>
  <si>
    <t>ТЕРр61-22-20</t>
  </si>
  <si>
    <t>Ремонт штукатурки наружных прямолинейных горизонтальных тяг по камню и бетону декоративным раствором площадью в одном месте: до 5 м2 с лестниц</t>
  </si>
  <si>
    <t>ТЕРр61-22-21</t>
  </si>
  <si>
    <t>Ремонт штукатурки наружных прямолинейных горизонтальных тяг по камню и бетону декоративным раствором площадью в одном месте: до 5 м2 с люлек</t>
  </si>
  <si>
    <t>ТЕРр61-22-22</t>
  </si>
  <si>
    <t>Ремонт штукатурки наружных прямолинейных вертикальных тяг по камню и бетону декоративным раствором площадью в одном месте: до 5 м2 с земли и лесов</t>
  </si>
  <si>
    <t>ТЕРр61-22-23</t>
  </si>
  <si>
    <t>Ремонт штукатурки наружных прямолинейных вертикальных тяг по камню и бетону декоративным раствором площадью в одном месте: до 5 м2 с лестниц</t>
  </si>
  <si>
    <t>ТЕРр61-22-24</t>
  </si>
  <si>
    <t>Ремонт штукатурки наружных прямолинейных вертикальных тяг по камню и бетону декоративным раствором площадью в одном месте: до 5 м2 с люлек</t>
  </si>
  <si>
    <t>Раздел 23. Ремонт штукатурки наружных криволинейных тяг</t>
  </si>
  <si>
    <t>ТЕРр61-23-1</t>
  </si>
  <si>
    <t>Ремонт штукатурки наружных криволинейных горизонтальных тяг по камню и бетону цементно-известковым раствором длиной в одном месте: до 5 м с земли и лесов</t>
  </si>
  <si>
    <t>ТЕРр61-23-2</t>
  </si>
  <si>
    <t>Ремонт штукатурки наружных криволинейных горизонтальных тяг по камню и бетону цементно-известковым раствором длиной в одном месте: до 5 м с лестниц</t>
  </si>
  <si>
    <t>ТЕРр61-23-3</t>
  </si>
  <si>
    <t>Ремонт штукатурки наружных криволинейных горизонтальных тяг по камню и бетону цементно-известковым раствором длиной в одном месте: до 5 м с люлек</t>
  </si>
  <si>
    <t>ТЕРр61-23-4</t>
  </si>
  <si>
    <t>Ремонт штукатурки наружных криволинейных горизонтальных тяг по камню и бетону цементно-известковым раствором длиной в одном месте: более 5 м с земли и лесов</t>
  </si>
  <si>
    <t>ТЕРр61-23-5</t>
  </si>
  <si>
    <t>Ремонт штукатурки наружных криволинейных горизонтальных тяг по камню и бетону цементно-известковым раствором длиной в одном месте: более 5 м с лестниц</t>
  </si>
  <si>
    <t>ТЕРр61-23-6</t>
  </si>
  <si>
    <t>Ремонт штукатурки наружных криволинейных горизонтальных тяг по камню и бетону цементно-известковым раствором длиной в одном месте: более 5 м с люлек</t>
  </si>
  <si>
    <t>ТЕРр61-23-7</t>
  </si>
  <si>
    <t>Ремонт штукатурки наружных криволинейных вертикальных тяг по камню и бетону цементно-известковым раствором длиной в одном месте: до 5 м с земли и лесов</t>
  </si>
  <si>
    <t>ТЕРр61-23-8</t>
  </si>
  <si>
    <t>Ремонт штукатурки наружных криволинейных вертикальных тяг по камню и бетону цементно-известковым раствором длиной в одном месте: до 5 м с лестниц</t>
  </si>
  <si>
    <t>ТЕРр61-23-9</t>
  </si>
  <si>
    <t>Ремонт штукатурки наружных криволинейных вертикальных тяг по камню и бетону цементно-известковым раствором длиной в одном месте: до 5 м с люлек</t>
  </si>
  <si>
    <t>ТЕРр61-23-10</t>
  </si>
  <si>
    <t>Ремонт штукатурки наружных криволинейных вертикальных тяг по камню и бетону цементно-известковым раствором длиной в одном месте: более 5 м с земли и лесов</t>
  </si>
  <si>
    <t>ТЕРр61-23-11</t>
  </si>
  <si>
    <t>Ремонт штукатурки наружных криволинейных вертикальных тяг по камню и бетону цементно-известковым раствором длиной в одном месте: более 5 м с лестниц</t>
  </si>
  <si>
    <t>ТЕРр61-23-12</t>
  </si>
  <si>
    <t>Ремонт штукатурки наружных криволинейных вертикальных тяг по камню и бетону цементно-известковым раствором длиной в одном месте: более 5 м с люлек</t>
  </si>
  <si>
    <t>ТЕРр61-23-13</t>
  </si>
  <si>
    <t>Ремонт штукатурки наружных криволинейных горизонтальных тяг по дереву известковым раствором длиной в одном месте: до 5 м с земли и лесов</t>
  </si>
  <si>
    <t>ТЕРр61-23-14</t>
  </si>
  <si>
    <t>Ремонт штукатурки наружных криволинейных горизонтальных тяг по дереву известковым раствором длиной в одном месте: до 5 м с лестниц</t>
  </si>
  <si>
    <t>ТЕРр61-23-15</t>
  </si>
  <si>
    <t>Ремонт штукатурки наружных криволинейных горизонтальных тяг по дереву известковым раствором длиной в одном месте: до 5 м с люлек</t>
  </si>
  <si>
    <t>ТЕРр61-23-16</t>
  </si>
  <si>
    <t>Ремонт штукатурки наружных криволинейных горизонтальных тяг по дереву известковым раствором длиной в одном месте: более 5 м с земли и лесов</t>
  </si>
  <si>
    <t>ТЕРр61-23-17</t>
  </si>
  <si>
    <t>Ремонт штукатурки наружных криволинейных горизонтальных тяг по дереву известковым раствором длиной в одном месте: более 5 м с лестниц</t>
  </si>
  <si>
    <t>ТЕРр61-23-18</t>
  </si>
  <si>
    <t>Ремонт штукатурки наружных криволинейных горизонтальных тяг по дереву известковым раствором длиной в одном месте: более 5 м с люлек</t>
  </si>
  <si>
    <t>ТЕРр61-23-19</t>
  </si>
  <si>
    <t>Ремонт штукатурки наружных криволинейных горизонтальных тяг по камню и бетону декоративным раствором площадью в одном месте: до 5 м2 с земли и лесов</t>
  </si>
  <si>
    <t>ТЕРр61-23-20</t>
  </si>
  <si>
    <t>Ремонт штукатурки наружных криволинейных горизонтальных тяг по камню и бетону декоративным раствором площадью в одном месте: до 5 м2 с лестниц</t>
  </si>
  <si>
    <t>ТЕРр61-23-21</t>
  </si>
  <si>
    <t>Ремонт штукатурки наружных криволинейных горизонтальных тяг по камню и бетону декоративным раствором площадью в одном месте: до 5 м2 с люлек</t>
  </si>
  <si>
    <t>ТЕРр61-23-22</t>
  </si>
  <si>
    <t>Ремонт штукатурки наружных криволинейных вертикальных тяг по камню и бетону декоративным раствором площадью в одном месте: до 5 м2 с земли и лесов</t>
  </si>
  <si>
    <t>ТЕРр61-23-23</t>
  </si>
  <si>
    <t>Ремонт штукатурки наружных криволинейных вертикальных тяг по камню и бетону декоративным раствором площадью в одном месте: до 5 м2 с лестниц</t>
  </si>
  <si>
    <t>ТЕРр61-23-24</t>
  </si>
  <si>
    <t>Ремонт штукатурки наружных криволинейных вертикальных тяг по камню и бетону декоративным раствором площадью в одном месте: до 5 м2 с люлек</t>
  </si>
  <si>
    <t>Раздел 24. Ремонт штукатурки фасадов сухой растворной смесью (типа «Ветонит»)</t>
  </si>
  <si>
    <t>ТЕРр61-24-1</t>
  </si>
  <si>
    <t>Ремонт штукатурки фасадов сухой растворной смесью (типа «Ветонит»)</t>
  </si>
  <si>
    <t>Раздел 25. Очистка поверхности фасадов пескоструйным аппаратом</t>
  </si>
  <si>
    <t>ТЕРр61-25-1</t>
  </si>
  <si>
    <t>Очистка поверхности фасадов пескоструйным аппаратом: гладкой с земли и лесов</t>
  </si>
  <si>
    <t>ТЕРр61-25-2</t>
  </si>
  <si>
    <t>Очистка поверхности фасадов пескоструйным аппаратом: гладкой с лестниц</t>
  </si>
  <si>
    <t>ТЕРр61-25-3</t>
  </si>
  <si>
    <t>Очистка поверхности фасадов пескоструйным аппаратом: гладкой с люлек</t>
  </si>
  <si>
    <t>ТЕРр61-25-4</t>
  </si>
  <si>
    <t>Очистка поверхности фасадов пескоструйным аппаратом: с рустами с земли и лесов</t>
  </si>
  <si>
    <t>ТЕРр61-25-5</t>
  </si>
  <si>
    <t>Очистка поверхности фасадов пескоструйным аппаратом: с рустами с лестниц</t>
  </si>
  <si>
    <t>ТЕРр61-25-6</t>
  </si>
  <si>
    <t>Очистка поверхности фасадов пескоструйным аппаратом: с рустами с люлек</t>
  </si>
  <si>
    <t>Раздел 26. Перетирка штукатурки</t>
  </si>
  <si>
    <t>ТЕРр61-26-1</t>
  </si>
  <si>
    <t>Перетирка штукатурки: внутренних помещений</t>
  </si>
  <si>
    <t>ТЕРр61-26-2</t>
  </si>
  <si>
    <t>Перетирка штукатурки: фасадов гладких с земли и лесов</t>
  </si>
  <si>
    <t>ТЕРр61-26-3</t>
  </si>
  <si>
    <t>Перетирка штукатурки: фасадов гладких с лестниц</t>
  </si>
  <si>
    <t>ТЕРр61-26-4</t>
  </si>
  <si>
    <t>Перетирка штукатурки: фасадов гладких с люлек</t>
  </si>
  <si>
    <t>ТЕРр61-26-5</t>
  </si>
  <si>
    <t>Перетирка штукатурки фасадов с рустами: с земли и лесов</t>
  </si>
  <si>
    <t>ТЕРр61-26-6</t>
  </si>
  <si>
    <t>Перетирка штукатурки фасадов с рустами: с лестниц</t>
  </si>
  <si>
    <t>ТЕРр61-26-7</t>
  </si>
  <si>
    <t>Перетирка штукатурки фасадов с рустами: с люлек</t>
  </si>
  <si>
    <t>Раздел 27. Насечка поверхностей под штукатурку</t>
  </si>
  <si>
    <t>ТЕРр61-27-1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</si>
  <si>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радиуса: по кирпичу</t>
  </si>
  <si>
    <t>ТЕРр61-27-2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</si>
  <si>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радиуса: по бетону</t>
  </si>
  <si>
    <t>ТЕРр61-27-3</t>
  </si>
  <si>
    <t>Насечка под штукатурку поверхностей потолков, лестничных маршей, цилиндрических колонн, балок, карнизов и других мелких поверхностей: по кирпичу</t>
  </si>
  <si>
    <t>ТЕРр61-27-4</t>
  </si>
  <si>
    <t>Насечка под штукатурку поверхностей потолков, лестничных маршей, цилиндрических колонн, балок, карнизов и других мелких поверхностей: по бетону</t>
  </si>
  <si>
    <t>Раздел 28. Устройство основания под штукатурку из металлической сетки</t>
  </si>
  <si>
    <t>ТЕРр61-28-1</t>
  </si>
  <si>
    <t>Устройство основания под штукатурку из металлической сетки: по кирпичным и бетонным поверхностям</t>
  </si>
  <si>
    <t>ТЕРр61-28-2</t>
  </si>
  <si>
    <t>Устройство основания под штукатурку из металлической сетки: по дереву и гипсовым плитам</t>
  </si>
  <si>
    <t>ТЕРр61-28-3</t>
  </si>
  <si>
    <t>Устройство основания под штукатурку из металлической сетки: в местах примыкания деревянных поверхностей к кирпичным и бетонным</t>
  </si>
  <si>
    <t>ТЕРр61-28-4</t>
  </si>
  <si>
    <t>Обертывание балок сеткой</t>
  </si>
  <si>
    <t>ТЕРр61-28-5</t>
  </si>
  <si>
    <t>Устройство основания под штукатурку из металлической сетки по каркасу с обмазкой раствором: стен и перегородок</t>
  </si>
  <si>
    <t>ТЕРр61-28-6</t>
  </si>
  <si>
    <t>Устройство основания под штукатурку из металлической сетки по каркасу с обмазкой раствором: потолков, лестничных маршей</t>
  </si>
  <si>
    <t>ТЕРр61-28-7</t>
  </si>
  <si>
    <t>Устройство основания под штукатурку из металлической сетки по каркасу с обмазкой раствором: столбов, пилястр, прямоугольных колонн, криволинейных поверхностей большого размера</t>
  </si>
  <si>
    <t>ТЕРр61-28-8</t>
  </si>
  <si>
    <t>Устройство основания под штукатурку из металлической сетки по каркасу с обмазкой раствором: цилиндрических колонн, балок, карнизов и других мелких поверхностей</t>
  </si>
  <si>
    <t>Раздел 29. Устройство основания под штукатурку по деревянной поверхности</t>
  </si>
  <si>
    <t>ТЕРр61-29-1</t>
  </si>
  <si>
    <t>Устройство основания под штукатурку по деревянной поверхности: из гвоздей с оплетением проволокой</t>
  </si>
  <si>
    <t>ТЕРр61-29-2</t>
  </si>
  <si>
    <t>Устройство основания под штукатурку по деревянной поверхности: из драни штукатурной</t>
  </si>
  <si>
    <t>Раздел 30. Замена основания под штукатурку из драни</t>
  </si>
  <si>
    <t>ТЕРр61-30-1</t>
  </si>
  <si>
    <t>Замена основания под штукатурку из драни без изоляционного слоя: стен площадью до 10 м2</t>
  </si>
  <si>
    <t>ТЕРр61-30-2</t>
  </si>
  <si>
    <t>Замена основания под штукатурку из драни без изоляционного слоя: стен площадью до 20 м2</t>
  </si>
  <si>
    <t>ТЕРр61-30-3</t>
  </si>
  <si>
    <t>Замена основания под штукатурку из драни без изоляционного слоя: потолков площадью до 10 м2</t>
  </si>
  <si>
    <t>ТЕРр61-30-4</t>
  </si>
  <si>
    <t>Замена основания под штукатурку из драни без изоляционного слоя: потолков площадью до 20 м2</t>
  </si>
  <si>
    <t>ТЕРр61-30-5</t>
  </si>
  <si>
    <t>Замена основания под штукатурку из драни без изоляционного слоя: столбов, колонн площадью до 10 м2</t>
  </si>
  <si>
    <t>ТЕРр61-30-6</t>
  </si>
  <si>
    <t>Замена основания под штукатурку из драни без изоляционного слоя: столбов, колонн площадью до 20 м2</t>
  </si>
  <si>
    <t>ТЕРр61-30-7</t>
  </si>
  <si>
    <t>Замена основания под штукатурку из драни с изоляционным слоем: стен площадью до 10 м2</t>
  </si>
  <si>
    <t>ТЕРр61-30-8</t>
  </si>
  <si>
    <t>Замена основания под штукатурку из драни с изоляционным слоем: стен площадью до 20 м2</t>
  </si>
  <si>
    <t>ТЕРр61-30-9</t>
  </si>
  <si>
    <t>Замена основания под штукатурку из драни с изоляционным слоем: потолков площадью до 10 м2</t>
  </si>
  <si>
    <t>ТЕРр61-30-10</t>
  </si>
  <si>
    <t>Замена основания под штукатурку из драни с изоляционным слоем: потолков площадью до 20 м2</t>
  </si>
  <si>
    <t>Раздел 31. Оштукатуривание поверхности дымовых труб</t>
  </si>
  <si>
    <t>ТЕРр61-31-1</t>
  </si>
  <si>
    <t>Оштукатуривание поверхности дымовых труб</t>
  </si>
  <si>
    <t>Раздел 32. Выравнивание разрушенных мест раствором с добавлением Ультра-Си при толщине намета до 10 мм</t>
  </si>
  <si>
    <t>ТЕРр61-32-1</t>
  </si>
  <si>
    <t>Выравнивание разрушенных мест раствором с добавлением Ультра-Си при толщине намета до 10 мм</t>
  </si>
  <si>
    <r>
      <t xml:space="preserve">                </t>
    </r>
    <r>
      <rPr>
        <sz val="18"/>
        <rFont val="Arial"/>
        <family val="2"/>
        <charset val="204"/>
      </rPr>
      <t xml:space="preserve"> ТЕРр62</t>
    </r>
  </si>
  <si>
    <t>Окраска водными составами ранее окрашенных поверхностей</t>
  </si>
  <si>
    <t>ТЕРр62-1-1</t>
  </si>
  <si>
    <t>Окраска клеевыми составами: простая</t>
  </si>
  <si>
    <t>ТЕРр62-1-2</t>
  </si>
  <si>
    <t>Окраска клеевыми составами: улучшенная</t>
  </si>
  <si>
    <t>ТЕРр62-1-3</t>
  </si>
  <si>
    <t>Окраска клеевыми составами: высококачественная</t>
  </si>
  <si>
    <t>ТЕРр62-1-4</t>
  </si>
  <si>
    <t>Окраска известковыми составами: по штукатурке</t>
  </si>
  <si>
    <t>ТЕРр62-1-5</t>
  </si>
  <si>
    <t>Окраска известковыми составами: по кирпичу и бетону</t>
  </si>
  <si>
    <t>ТЕРр62-1-6</t>
  </si>
  <si>
    <t>Окраска известковыми составами: по дереву</t>
  </si>
  <si>
    <t>Простая масляная окраска ранее окрашенных стен</t>
  </si>
  <si>
    <t>ТЕРр62-2-1</t>
  </si>
  <si>
    <t>Простая масляная окраска ранее окрашенных стен: без подготовки с расчисткой старой краски до 10%</t>
  </si>
  <si>
    <t>ТЕРр62-2-2</t>
  </si>
  <si>
    <t>Простая масляная окраска ранее окрашенных стен: с подготовкой и расчисткой старой краски до 10%</t>
  </si>
  <si>
    <t>ТЕРр62-2-3</t>
  </si>
  <si>
    <t>Простая масляная окраска ранее окрашенных стен: с подготовкой и расчисткой старой краски до 35%</t>
  </si>
  <si>
    <t>ТЕРр62-2-4</t>
  </si>
  <si>
    <t>Простая масляная окраска ранее окрашенных стен: с подготовкой и расчисткой старой краски более 35%</t>
  </si>
  <si>
    <t>Простая масляная окраска ранее окрашенных потолков</t>
  </si>
  <si>
    <t>ТЕРр62-3-1</t>
  </si>
  <si>
    <t>Простая масляная окраска ранее окрашенных потолков: без подготовки с расчисткой старой краски до 10%</t>
  </si>
  <si>
    <t>ТЕРр62-3-2</t>
  </si>
  <si>
    <t>Простая масляная окраска ранее окрашенных потолков: с подготовкой и расчисткой старой краски до 10%</t>
  </si>
  <si>
    <t>ТЕРр62-3-3</t>
  </si>
  <si>
    <t>Простая масляная окраска ранее окрашенных потолков: с подготовкой и расчисткой старой краски до 35%</t>
  </si>
  <si>
    <t>ТЕРр62-3-4</t>
  </si>
  <si>
    <t>Простая масляная окраска ранее окрашенных потолков: с подготовкой и расчисткой старой краски более 35%</t>
  </si>
  <si>
    <t>Простая масляная окраска ранее окрашенных окон</t>
  </si>
  <si>
    <t>ТЕРр62-4-1</t>
  </si>
  <si>
    <t>Простая масляная окраска ранее окрашенных окон: без подготовки с расчисткой старой краски до 10%</t>
  </si>
  <si>
    <t>ТЕРр62-4-2</t>
  </si>
  <si>
    <t>Простая масляная окраска ранее окрашенных окон: с подготовкой и расчисткой старой краски до 10%</t>
  </si>
  <si>
    <t>ТЕРр62-4-3</t>
  </si>
  <si>
    <t>Простая масляная окраска ранее окрашенных окон: с подготовкой и расчисткой старой краски до 35%</t>
  </si>
  <si>
    <t>ТЕРр62-4-4</t>
  </si>
  <si>
    <t>Простая масляная окраска ранее окрашенных окон: с подготовкой и расчисткой старой краски более 35%</t>
  </si>
  <si>
    <t>ТЕРр62-4-5</t>
  </si>
  <si>
    <t>Простая масляная окраска ранее окрашенных окон только со стороны фасада с приставных лестниц: без подготовки с расчисткой старой краски до 10%</t>
  </si>
  <si>
    <t>ТЕРр62-4-6</t>
  </si>
  <si>
    <t>Простая масляная окраска ранее окрашенных окон только со стороны фасада с приставных лестниц: с подготовкой и расчисткой старой краски до 10%</t>
  </si>
  <si>
    <t>ТЕРр62-4-7</t>
  </si>
  <si>
    <t>Простая масляная окраска ранее окрашенных окон только со стороны фасада с приставных лестниц: с подготовкой и расчисткой старой краски до 35%</t>
  </si>
  <si>
    <t>ТЕРр62-4-8</t>
  </si>
  <si>
    <t>Простая масляная окраска ранее окрашенных окон только со стороны фасада с приставных лестниц: с подготовкой и расчисткой старой краски более 35%</t>
  </si>
  <si>
    <t>ТЕРр62-4-9</t>
  </si>
  <si>
    <t>Простая масляная окраска ранее окрашенных окон только со стороны фасада с люлек: без подготовки с расчисткой старой краски до 10%</t>
  </si>
  <si>
    <t>ТЕРр62-4-10</t>
  </si>
  <si>
    <t>Простая масляная окраска ранее окрашенных окон только со стороны фасада с люлек: с подготовкой и расчисткой старой краски до 10%</t>
  </si>
  <si>
    <t>ТЕРр62-4-11</t>
  </si>
  <si>
    <t>Простая масляная окраска ранее окрашенных окон только со стороны фасада с люлек: с подготовкой и расчисткой старой краски до 35%</t>
  </si>
  <si>
    <t>ТЕРр62-4-12</t>
  </si>
  <si>
    <t>Простая масляная окраска ранее окрашенных окон только со стороны фасада с люлек: с подготовкой и расчисткой старой краски более 35%</t>
  </si>
  <si>
    <t>Простая масляная окраска ранее окрашенных дверей</t>
  </si>
  <si>
    <t>ТЕРр62-5-1</t>
  </si>
  <si>
    <t>Простая масляная окраска ранее окрашенных дверей: без подготовки с расчисткой старой краски до 10%</t>
  </si>
  <si>
    <t>ТЕРр62-5-2</t>
  </si>
  <si>
    <t>Простая масляная окраска ранее окрашенных дверей: с подготовкой и расчисткой старой краски до 10%</t>
  </si>
  <si>
    <t>ТЕРр62-5-3</t>
  </si>
  <si>
    <t>Простая масляная окраска ранее окрашенных дверей: с подготовкой и расчисткой старой краски до 35%</t>
  </si>
  <si>
    <t>ТЕРр62-5-4</t>
  </si>
  <si>
    <t>Простая масляная окраска ранее окрашенных дверей: с подготовкой и расчисткой старой краски более 35%</t>
  </si>
  <si>
    <t>Простая масляная окраска ранее окрашенных полов</t>
  </si>
  <si>
    <t>ТЕРр62-6-1</t>
  </si>
  <si>
    <t>Простая масляная окраска ранее окрашенных полов: без подготовки с расчисткой старой краски до 10%</t>
  </si>
  <si>
    <t>ТЕРр62-6-2</t>
  </si>
  <si>
    <t>Простая масляная окраска ранее окрашенных полов: с подготовкой и расчисткой старой краски до 10%</t>
  </si>
  <si>
    <t>ТЕРр62-6-3</t>
  </si>
  <si>
    <t>Простая масляная окраска ранее окрашенных полов: с подготовкой и расчисткой старой краски до 35%</t>
  </si>
  <si>
    <t>ТЕРр62-6-4</t>
  </si>
  <si>
    <t>Простая масляная окраска ранее окрашенных полов: с подготовкой и расчисткой старой краски более 35%</t>
  </si>
  <si>
    <t>Улучшенная масляная окраска ранее окрашенных стен</t>
  </si>
  <si>
    <t>ТЕРр62-7-1</t>
  </si>
  <si>
    <t>Улучшенная масляная окраска ранее окрашенных стен: за один раз с расчисткой старой краски до 10%</t>
  </si>
  <si>
    <t>ТЕРр62-7-2</t>
  </si>
  <si>
    <t>Улучшенная масляная окраска ранее окрашенных стен: за один раз с расчисткой старой краски до 35%</t>
  </si>
  <si>
    <t>ТЕРр62-7-3</t>
  </si>
  <si>
    <t>Улучшенная масляная окраска ранее окрашенных стен: за один раз с расчисткой старой краски более 35%</t>
  </si>
  <si>
    <t>ТЕРр62-7-4</t>
  </si>
  <si>
    <t>Улучшенная масляная окраска ранее окрашенных стен: за два раза с расчисткой старой краски до 10%</t>
  </si>
  <si>
    <t>ТЕРр62-7-5</t>
  </si>
  <si>
    <t>Улучшенная масляная окраска ранее окрашенных стен: за два раза с расчисткой старой краски до 35%</t>
  </si>
  <si>
    <t>ТЕРр62-7-6</t>
  </si>
  <si>
    <t>Улучшенная масляная окраска ранее окрашенных стен: за два раза с расчисткой старой краски более 35%</t>
  </si>
  <si>
    <t>Улучшенная масляная окраска ранее окрашенных потолков</t>
  </si>
  <si>
    <t>ТЕРр62-8-1</t>
  </si>
  <si>
    <t>Улучшенная масляная окраска ранее окрашенных потолков: за один раз с расчисткой старой краски до 10%</t>
  </si>
  <si>
    <t>ТЕРр62-8-2</t>
  </si>
  <si>
    <t>Улучшенная масляная окраска ранее окрашенных потолков: за один раз с расчисткой старой краски до 35%</t>
  </si>
  <si>
    <t>ТЕРр62-8-3</t>
  </si>
  <si>
    <t>Улучшенная масляная окраска ранее окрашенных потолков: за один раз с расчисткой старой краски более 35%</t>
  </si>
  <si>
    <t>ТЕРр62-8-4</t>
  </si>
  <si>
    <t>Улучшенная масляная окраска ранее окрашенных потолков: за два раза с расчисткой старой краски до 10%</t>
  </si>
  <si>
    <t>ТЕРр62-8-5</t>
  </si>
  <si>
    <t>Улучшенная масляная окраска ранее окрашенных потолков: за два раза с расчисткой старой краски до 35%</t>
  </si>
  <si>
    <t>ТЕРр62-8-6</t>
  </si>
  <si>
    <t>Улучшенная масляная окраска ранее окрашенных потолков: за два раза с расчисткой старой краски более 35%</t>
  </si>
  <si>
    <t>Улучшенная масляная окраска ранее окрашенных окон</t>
  </si>
  <si>
    <t>ТЕРр62-9-1</t>
  </si>
  <si>
    <t>Улучшенная масляная окраска ранее окрашенных окон: за один раз с расчисткой старой краски до 10%</t>
  </si>
  <si>
    <t>ТЕРр62-9-2</t>
  </si>
  <si>
    <t>Улучшенная масляная окраска ранее окрашенных окон: за один раз с расчисткой старой краски до 35%</t>
  </si>
  <si>
    <t>ТЕРр62-9-3</t>
  </si>
  <si>
    <t>Улучшенная масляная окраска ранее окрашенных окон: за один раз с расчисткой старой краски более 35%</t>
  </si>
  <si>
    <t>ТЕРр62-9-4</t>
  </si>
  <si>
    <t>Улучшенная масляная окраска ранее окрашенных окон: за два раза с расчисткой старой краски до 10%</t>
  </si>
  <si>
    <t>ТЕРр62-9-5</t>
  </si>
  <si>
    <t>Улучшенная масляная окраска ранее окрашенных окон: за два раза с расчисткой старой краски до 35%</t>
  </si>
  <si>
    <t>ТЕРр62-9-6</t>
  </si>
  <si>
    <t>Улучшенная масляная окраска ранее окрашенных окон: за два раза с расчисткой старой краски более 35%</t>
  </si>
  <si>
    <t>ТЕРр62-9-7</t>
  </si>
  <si>
    <t>Улучшенная масляная окраска ранее окрашенных окон: за один раз только со стороны фасада с приставных лестниц с расчисткой старой краски до 10%</t>
  </si>
  <si>
    <t>ТЕРр62-9-8</t>
  </si>
  <si>
    <t>Улучшенная масляная окраска ранее окрашенных окон: за один раз только со стороны фасада с приставных лестниц с расчисткой старой краски до 35%</t>
  </si>
  <si>
    <t>ТЕРр62-9-9</t>
  </si>
  <si>
    <t>Улучшенная масляная окраска ранее окрашенных окон: за один раз только со стороны фасада с приставных лестниц с расчисткой старой краски более 35%</t>
  </si>
  <si>
    <t>ТЕРр62-9-10</t>
  </si>
  <si>
    <t>Улучшенная масляная окраска ранее окрашенных окон: за два раза только со стороны фасада с приставных лестниц с расчисткой старой краски до 10%</t>
  </si>
  <si>
    <t>ТЕРр62-9-11</t>
  </si>
  <si>
    <t>Улучшенная масляная окраска ранее окрашенных окон: за два раза только со стороны фасада с приставных лестниц с расчисткой старой краски до 35%</t>
  </si>
  <si>
    <t>ТЕРр62-9-12</t>
  </si>
  <si>
    <t>Улучшенная масляная окраска ранее окрашенных окон: за два раза только со стороны фасада с приставных лестниц с расчисткой старой краски более 35%</t>
  </si>
  <si>
    <t>ТЕРр62-9-13</t>
  </si>
  <si>
    <t>Улучшенная масляная окраска ранее окрашенных окон: за один раз только со стороны фасада с люлек с расчисткой старой краски до 10%</t>
  </si>
  <si>
    <t>ТЕРр62-9-14</t>
  </si>
  <si>
    <t>Улучшенная масляная окраска ранее окрашенных окон: за один раз только со стороны фасада с люлек с расчисткой старой краски до 35%</t>
  </si>
  <si>
    <t>ТЕРр62-9-15</t>
  </si>
  <si>
    <t>Улучшенная масляная окраска ранее окрашенных окон: за один раз только со стороны фасада с люлек с расчисткой старой краски более 35%</t>
  </si>
  <si>
    <t>ТЕРр62-9-16</t>
  </si>
  <si>
    <t>Улучшенная масляная окраска ранее окрашенных окон: за два раза только со стороны фасада с люлек с расчисткой старой краски до 10%</t>
  </si>
  <si>
    <t>ТЕРр62-9-17</t>
  </si>
  <si>
    <t>Улучшенная масляная окраска ранее окрашенных окон: за два раза только со стороны фасада с люлек с расчисткой старой краски до 35%</t>
  </si>
  <si>
    <t>ТЕРр62-9-18</t>
  </si>
  <si>
    <t>Улучшенная масляная окраска ранее окрашенных окон: за два раза только со стороны фасада с люлек с расчисткой старой краски более 35%</t>
  </si>
  <si>
    <t>Улучшенная масляная окраска ранее окрашенных дверей</t>
  </si>
  <si>
    <t>ТЕРр62-10-1</t>
  </si>
  <si>
    <t>Улучшенная масляная окраска ранее окрашенных дверей: за один раз с расчисткой старой краски до 10%</t>
  </si>
  <si>
    <t>ТЕРр62-10-2</t>
  </si>
  <si>
    <t>Улучшенная масляная окраска ранее окрашенных дверей: за один раз с расчисткой старой краски до 35%</t>
  </si>
  <si>
    <t>ТЕРр62-10-3</t>
  </si>
  <si>
    <t>Улучшенная масляная окраска ранее окрашенных дверей: за один раз с расчисткой старой краски более 35%</t>
  </si>
  <si>
    <t>ТЕРр62-10-4</t>
  </si>
  <si>
    <t>Улучшенная масляная окраска ранее окрашенных дверей: за два раза с расчисткой старой краски до 10%</t>
  </si>
  <si>
    <t>ТЕРр62-10-5</t>
  </si>
  <si>
    <t>Улучшенная масляная окраска ранее окрашенных дверей: за два раза с расчисткой старой краски до 35%</t>
  </si>
  <si>
    <t>ТЕРр62-10-6</t>
  </si>
  <si>
    <t>Улучшенная масляная окраска ранее окрашенных дверей: за два раза с расчисткой старой краски более 35%</t>
  </si>
  <si>
    <t>Улучшенная масляная окраска полов</t>
  </si>
  <si>
    <t>ТЕРр62-11-1</t>
  </si>
  <si>
    <t>Улучшенная масляная окраска ранее окрашенных полов: за один раз с расчисткой старой краски до 10%</t>
  </si>
  <si>
    <t>ТЕРр62-11-2</t>
  </si>
  <si>
    <t>Улучшенная масляная окраска ранее окрашенных полов: за один раз с расчисткой старой краски до 35%</t>
  </si>
  <si>
    <t>ТЕРр62-11-3</t>
  </si>
  <si>
    <t>Улучшенная масляная окраска ранее окрашенных полов: за один раз с расчисткой старой краски более 35%</t>
  </si>
  <si>
    <t>ТЕРр62-11-4</t>
  </si>
  <si>
    <t>Улучшенная масляная окраска ранее окрашенных полов: за два раза с расчисткой старой краски до 10%</t>
  </si>
  <si>
    <t>ТЕРр62-11-5</t>
  </si>
  <si>
    <t>Улучшенная масляная окраска ранее окрашенных полов: за два раза с расчисткой старой краски до 35%</t>
  </si>
  <si>
    <t>ТЕРр62-11-6</t>
  </si>
  <si>
    <t>Улучшенная масляная окраска ранее окрашенных полов: за два раза с расчисткой старой краски более 35%</t>
  </si>
  <si>
    <t>Высококачественная масляная окраска ранее окрашенных стен</t>
  </si>
  <si>
    <t>ТЕРр62-12-1</t>
  </si>
  <si>
    <t>Высококачественная масляная окраска ранее окрашенных стен с расчисткой старой краски: до 10%</t>
  </si>
  <si>
    <t>ТЕРр62-12-2</t>
  </si>
  <si>
    <t>Высококачественная масляная окраска ранее окрашенных стен с расчисткой старой краски: до 35%</t>
  </si>
  <si>
    <t>ТЕРр62-12-3</t>
  </si>
  <si>
    <t>Высококачественная масляная окраска ранее окрашенных стен с расчисткой старой краски: более 35%</t>
  </si>
  <si>
    <t>Высококачественная масляная окраска ранее окрашенных потолков</t>
  </si>
  <si>
    <t>ТЕРр62-13-1</t>
  </si>
  <si>
    <t>Высококачественная масляная окраска ранее окрашенных потолков с расчисткой старой краски: до 10%</t>
  </si>
  <si>
    <t>ТЕРр62-13-2</t>
  </si>
  <si>
    <t>Высококачественная масляная окраска ранее окрашенных потолков с расчисткой старой краски: до 35%</t>
  </si>
  <si>
    <t>ТЕРр62-13-3</t>
  </si>
  <si>
    <t>Высококачественная масляная окраска ранее окрашенных потолков с расчисткой старой краски: более 35%</t>
  </si>
  <si>
    <t>Высококачественная масляная окраска ранее окрашенных окон</t>
  </si>
  <si>
    <t>ТЕРр62-14-1</t>
  </si>
  <si>
    <t>Высококачественная масляная окраска ранее окрашенных окон с расчисткой старой краски: до 10%</t>
  </si>
  <si>
    <t>ТЕРр62-14-2</t>
  </si>
  <si>
    <t>Высококачественная масляная окраска ранее окрашенных окон с расчисткой старой краски: до 35%</t>
  </si>
  <si>
    <t>ТЕРр62-14-3</t>
  </si>
  <si>
    <t>Высококачественная масляная окраска ранее окрашенных окон с расчисткой старой краски: более 35%</t>
  </si>
  <si>
    <t>Высококачественная масляная окраска ранее окрашенных дверей</t>
  </si>
  <si>
    <t>ТЕРр62-15-1</t>
  </si>
  <si>
    <t>Высококачественная масляная окраска ранее окрашенных дверей с расчисткой старой краски: до 10%</t>
  </si>
  <si>
    <t>ТЕРр62-15-2</t>
  </si>
  <si>
    <t>Высококачественная масляная окраска ранее окрашенных дверей с расчисткой старой краски: до 35%</t>
  </si>
  <si>
    <t>ТЕРр62-15-3</t>
  </si>
  <si>
    <t>Высококачественная масляная окраска ранее окрашенных дверей с расчисткой старой краски: более 35%</t>
  </si>
  <si>
    <t>Окрашивание ранее окрашенных поверхностей стен водоэмульсионными составами</t>
  </si>
  <si>
    <t>ТЕРр62-16-1</t>
  </si>
  <si>
    <t>Окрашивание водоэмульсионными составами поверхностей стен, ранее окрашенных: известковой или клеевой краской, с расчисткой старой краски более 35%</t>
  </si>
  <si>
    <t>ТЕРр62-16-2</t>
  </si>
  <si>
    <t>Окрашивание водоэмульсионными составами поверхностей стен, ранее окрашенных: водоэмульсионной краской, с расчисткой старой краски до 10%</t>
  </si>
  <si>
    <t>ТЕРр62-16-3</t>
  </si>
  <si>
    <t>Окрашивание водоэмульсионными составами поверхностей стен, ранее окрашенных: водоэмульсионной краской, с расчисткой старой краски до 35%</t>
  </si>
  <si>
    <t>ТЕРр62-16-4</t>
  </si>
  <si>
    <t>Окрашивание водоэмульсионными составами поверхностей стен, ранее окрашенных: водоэмульсионной краской, с расчисткой старой краски более 35%</t>
  </si>
  <si>
    <t>ТЕРр62-16-5</t>
  </si>
  <si>
    <t>Окрашивание водоэмульсионными составами поверхностей стен, ранее окрашенных: масляной краской, с расчисткой старой краски более 35%</t>
  </si>
  <si>
    <t>Окрашивание ранее окрашенных поверхностей потолков, водоэмульсионными составами</t>
  </si>
  <si>
    <t>ТЕРр62-17-1</t>
  </si>
  <si>
    <t>Окрашивание водоэмульсионными составами поверхностей потолков, ранее окрашенных: известковой или клеевой краской, с расчисткой старой краски более 35%</t>
  </si>
  <si>
    <t>ТЕРр62-17-2</t>
  </si>
  <si>
    <t>Окрашивание водоэмульсионными составами поверхностей потолков, ранее окрашенных: водоэмульсионной краской, с расчисткой старой краски до 10%</t>
  </si>
  <si>
    <t>ТЕРр62-17-3</t>
  </si>
  <si>
    <t>Окрашивание водоэмульсионными составами поверхностей потолков, ранее окрашенных: водоэмульсионной краской, с расчисткой старой краски до 35%</t>
  </si>
  <si>
    <t>ТЕРр62-17-4</t>
  </si>
  <si>
    <t>Окрашивание водоэмульсионными составами поверхностей потолков, ранее окрашенных: водоэмульсионной краской, с расчисткой старой краски более 35%</t>
  </si>
  <si>
    <t>ТЕРр62-17-5</t>
  </si>
  <si>
    <t>Окрашивание водоэмульсионными составами поверхностей потолков, ранее окрашенных: масляной краской, с расчисткой старой краски более 35%</t>
  </si>
  <si>
    <t>Окраска масляными составами деревянных поручней с покрытием лаком, плинтусов и галтелей, торцов лестничных маршей</t>
  </si>
  <si>
    <t>ТЕРр62-18-1</t>
  </si>
  <si>
    <t>Окраска масляными составами: деревянных поручней с покрытием лаком</t>
  </si>
  <si>
    <t>ТЕРр62-18-2</t>
  </si>
  <si>
    <t>Окраска масляными составами: плинтусов и галтелей</t>
  </si>
  <si>
    <t>ТЕРр62-18-3</t>
  </si>
  <si>
    <t>Окраска масляными составами: торцов лестничных маршей</t>
  </si>
  <si>
    <t xml:space="preserve">Раздел 2. </t>
  </si>
  <si>
    <t>Окраска известковыми составами ранее окрашенных фасадов</t>
  </si>
  <si>
    <t>ТЕРр62-19-1</t>
  </si>
  <si>
    <t>Окраска известковыми составами ранее окрашенных фасадов простых: по штукатурке с земли и лесов</t>
  </si>
  <si>
    <t>ТЕРр62-19-2</t>
  </si>
  <si>
    <t>Окраска известковыми составами ранее окрашенных фасадов простых: по штукатурке с лестниц</t>
  </si>
  <si>
    <t>ТЕРр62-19-3</t>
  </si>
  <si>
    <t>Окраска известковыми составами ранее окрашенных фасадов простых: по штукатурке с люлек</t>
  </si>
  <si>
    <t>ТЕРр62-19-4</t>
  </si>
  <si>
    <t>Окраска известковыми составами ранее окрашенных фасадов простых: по кирпичу с земли и лесов</t>
  </si>
  <si>
    <t>ТЕРр62-19-5</t>
  </si>
  <si>
    <t>Окраска известковыми составами ранее окрашенных фасадов простых: по кирпичу с лестниц</t>
  </si>
  <si>
    <t>ТЕРр62-19-6</t>
  </si>
  <si>
    <t>Окраска известковыми составами ранее окрашенных фасадов простых: по кирпичу с люлек</t>
  </si>
  <si>
    <t>ТЕРр62-19-7</t>
  </si>
  <si>
    <t>Окраска известковыми составами ранее окрашенных фасадов простых: по дереву с земли и лесов</t>
  </si>
  <si>
    <t>ТЕРр62-19-8</t>
  </si>
  <si>
    <t>Окраска известковыми составами ранее окрашенных фасадов простых: по дереву с лестниц</t>
  </si>
  <si>
    <t>ТЕРр62-19-9</t>
  </si>
  <si>
    <t>При окраске ранее окрашенных фасадов рустованных добавлять: к расценке 62-19-1</t>
  </si>
  <si>
    <t>ТЕРр62-19-10</t>
  </si>
  <si>
    <t>При окраске ранее окрашенных фасадов рустованных добавлять: к расценке 62-19-2</t>
  </si>
  <si>
    <t>ТЕРр62-19-11</t>
  </si>
  <si>
    <t>При окраске ранее окрашенных фасадов рустованных добавлять: к расценке 62-19-3</t>
  </si>
  <si>
    <t>ТЕРр62-19-12</t>
  </si>
  <si>
    <t>При окраске ранее окрашенных фасадов рустованных добавлять: к расценке 62-19-4</t>
  </si>
  <si>
    <t>ТЕРр62-19-13</t>
  </si>
  <si>
    <t>При окраске ранее окрашенных фасадов рустованных добавлять: к расценке 62-19-5</t>
  </si>
  <si>
    <t>ТЕРр62-19-14</t>
  </si>
  <si>
    <t>При окраске ранее окрашенных фасадов рустованных добавлять: к расценке 62-19-6</t>
  </si>
  <si>
    <t>Окраска казеиновыми красками ранее окрашенных фасадов</t>
  </si>
  <si>
    <t>ТЕРр62-20-1</t>
  </si>
  <si>
    <t>Окраска казеиновыми красками ранее окрашенных фасадов: с земли и лесов</t>
  </si>
  <si>
    <t>ТЕРр62-20-2</t>
  </si>
  <si>
    <t>Окраска казеиновыми красками ранее окрашенных фасадов: с лестниц</t>
  </si>
  <si>
    <t>ТЕРр62-20-3</t>
  </si>
  <si>
    <t>Окраска казеиновыми красками ранее окрашенных фасадов: с люлек</t>
  </si>
  <si>
    <t>ТЕРр62-20-4</t>
  </si>
  <si>
    <t>При окраске рустованных ранее окрашенных фасадов добавлять: к расценке 62-20-1</t>
  </si>
  <si>
    <t>ТЕРр62-20-5</t>
  </si>
  <si>
    <t>При окраске рустованных ранее окрашенных фасадов добавлять: к расценке 62-20-2</t>
  </si>
  <si>
    <t>ТЕРр62-20-6</t>
  </si>
  <si>
    <t>При окраске рустованных ранее окрашенных фасадов добавлять: к расценке 62-20-3</t>
  </si>
  <si>
    <t>Простая масляная окраска ранее окрашенных фасадов</t>
  </si>
  <si>
    <t>ТЕРр62-21-1</t>
  </si>
  <si>
    <t>Простая масляная окраска ранее окрашенных фасадов без подготовки с расчисткой старой краски до 10%: с земли и лесов</t>
  </si>
  <si>
    <t>ТЕРр62-21-2</t>
  </si>
  <si>
    <t>Простая масляная окраска ранее окрашенных фасадов без подготовки с расчисткой старой краски до 10%: с лестниц</t>
  </si>
  <si>
    <t>ТЕРр62-21-3</t>
  </si>
  <si>
    <t>Простая масляная окраска ранее окрашенных фасадов без подготовки с расчисткой старой краски до 10%: с люлек</t>
  </si>
  <si>
    <t>ТЕРр62-21-4</t>
  </si>
  <si>
    <t>Простая масляная окраска ранее окрашенных фасадов с подготовкой и расчисткой старой краски: до 10% с земли и лесов</t>
  </si>
  <si>
    <t>ТЕРр62-21-5</t>
  </si>
  <si>
    <t>Простая масляная окраска ранее окрашенных фасадов с подготовкой и расчисткой старой краски: до 10% с лестниц</t>
  </si>
  <si>
    <t>ТЕРр62-21-6</t>
  </si>
  <si>
    <t>Простая масляная окраска ранее окрашенных фасадов с подготовкой и расчисткой старой краски: до 10% с люлек</t>
  </si>
  <si>
    <t>ТЕРр62-21-7</t>
  </si>
  <si>
    <t>Простая масляная окраска ранее окрашенных фасадов с подготовкой и расчисткой старой краски: до 35% с земли и лесов</t>
  </si>
  <si>
    <t>ТЕРр62-21-8</t>
  </si>
  <si>
    <t>Простая масляная окраска ранее окрашенных фасадов с подготовкой и расчисткой старой краски: до 35% с лестниц</t>
  </si>
  <si>
    <t>ТЕРр62-21-9</t>
  </si>
  <si>
    <t>Простая масляная окраска ранее окрашенных фасадов с подготовкой и расчисткой старой краски: до 35% с люлек</t>
  </si>
  <si>
    <t>ТЕРр62-21-10</t>
  </si>
  <si>
    <t>Простая масляная окраска ранее окрашенных фасадов с подготовкой и расчисткой старой краски: более 35% с земли и лесов</t>
  </si>
  <si>
    <t>ТЕРр62-21-11</t>
  </si>
  <si>
    <t>Простая масляная окраска ранее окрашенных фасадов с подготовкой и расчисткой старой краски: более 35% с лестниц</t>
  </si>
  <si>
    <t>ТЕРр62-21-12</t>
  </si>
  <si>
    <t>Простая масляная окраска ранее окрашенных фасадов с подготовкой и расчисткой старой краски: более 35% с люлек</t>
  </si>
  <si>
    <t>Улучшенная масляная окраска ранее окрашенных фасадов</t>
  </si>
  <si>
    <t>ТЕРр62-22-1</t>
  </si>
  <si>
    <t>Улучшенная масляная окраска ранее окрашенных фасадов с расчисткой старой краски: до 10% с земли и лесов</t>
  </si>
  <si>
    <t>ТЕРр62-22-2</t>
  </si>
  <si>
    <t>Улучшенная масляная окраска ранее окрашенных фасадов с расчисткой старой краски: до 10% с лестниц</t>
  </si>
  <si>
    <t>ТЕРр62-22-3</t>
  </si>
  <si>
    <t>Улучшенная масляная окраска ранее окрашенных фасадов с расчисткой старой краски: до 10% с люлек</t>
  </si>
  <si>
    <t>ТЕРр62-22-4</t>
  </si>
  <si>
    <t>Улучшенная масляная окраска ранее окрашенных фасадов с расчисткой старой краски: до 35% с земли и лесов</t>
  </si>
  <si>
    <t>ТЕРр62-22-5</t>
  </si>
  <si>
    <t>Улучшенная масляная окраска ранее окрашенных фасадов с расчисткой старой краски: до 35% с лестниц</t>
  </si>
  <si>
    <t>ТЕРр62-22-6</t>
  </si>
  <si>
    <t>Улучшенная масляная окраска ранее окрашенных фасадов с расчисткой старой краски: до 35% с люлек</t>
  </si>
  <si>
    <t>ТЕРр62-22-7</t>
  </si>
  <si>
    <t>Улучшенная масляная окраска ранее окрашенных фасадов с расчисткой старой краски: более 35% с земли и лесов</t>
  </si>
  <si>
    <t>ТЕРр62-22-8</t>
  </si>
  <si>
    <t>Улучшенная масляная окраска ранее окрашенных фасадов с расчисткой старой краски: более 35% с лестниц</t>
  </si>
  <si>
    <t>ТЕРр62-22-9</t>
  </si>
  <si>
    <t>Улучшенная масляная окраска ранее окрашенных фасадов с расчисткой старой краски: более 35% с люлек</t>
  </si>
  <si>
    <t>Окраска силикатными красками за 1 раз ранее окрашенных фасадов</t>
  </si>
  <si>
    <t>ТЕРр62-23-1</t>
  </si>
  <si>
    <t>Окраска силикатными красками за 1 раз ранее окрашенных фасадов: по штукатурке с земли и лесов</t>
  </si>
  <si>
    <t>ТЕРр62-23-2</t>
  </si>
  <si>
    <t>Окраска силикатными красками за 1 раз ранее окрашенных фасадов: по штукатурке с лестниц</t>
  </si>
  <si>
    <t>ТЕРр62-23-3</t>
  </si>
  <si>
    <t>Окраска силикатными красками за 1 раз ранее окрашенных фасадов: по штукатурке с люлек</t>
  </si>
  <si>
    <t>ТЕРр62-23-4</t>
  </si>
  <si>
    <t>Окраска силикатными красками за 1 раз ранее окрашенных фасадов: по кирпичу с земли и лесов</t>
  </si>
  <si>
    <t>ТЕРр62-23-5</t>
  </si>
  <si>
    <t>Окраска силикатными красками за 1 раз ранее окрашенных фасадов: по кирпичу с лестниц</t>
  </si>
  <si>
    <t>ТЕРр62-23-6</t>
  </si>
  <si>
    <t>Окраска силикатными красками за 1 раз ранее окрашенных фасадов: по кирпичу с люлек</t>
  </si>
  <si>
    <t>ТЕРр62-23-7</t>
  </si>
  <si>
    <t>Окраска силикатными красками за 1 раз ранее окрашенных фасадов: по дереву с земли и лесов</t>
  </si>
  <si>
    <t>ТЕРр62-23-8</t>
  </si>
  <si>
    <t>Окраска силикатными красками за 1 раз ранее окрашенных фасадов: по дереву с лестниц</t>
  </si>
  <si>
    <t>ТЕРр62-23-9</t>
  </si>
  <si>
    <t>При окраске рустованных ранее окрашенных фасадов добавлять: к расценке 62-23-1</t>
  </si>
  <si>
    <t>ТЕРр62-23-10</t>
  </si>
  <si>
    <t>При окраске рустованных ранее окрашенных фасадов добавлять: к расценке 62-23-2</t>
  </si>
  <si>
    <t>ТЕРр62-23-11</t>
  </si>
  <si>
    <t>При окраске рустованных ранее окрашенных фасадов добавлять: к расценке 62-23-3</t>
  </si>
  <si>
    <t>ТЕРр62-23-12</t>
  </si>
  <si>
    <t>При окраске рустованных ранее окрашенных фасадов добавлять: к расценке 62-23-4</t>
  </si>
  <si>
    <t>ТЕРр62-23-13</t>
  </si>
  <si>
    <t>При окраске рустованных ранее окрашенных фасадов добавлять: к расценке 62-23-5</t>
  </si>
  <si>
    <t>ТЕРр62-23-14</t>
  </si>
  <si>
    <t>При окраске рустованных ранее окрашенных фасадов добавлять: к расценке 62-23-6</t>
  </si>
  <si>
    <t>Окраска силикатными красками за 2 раза ранее окрашенных фасадов</t>
  </si>
  <si>
    <t>ТЕРр62-24-1</t>
  </si>
  <si>
    <t>Окраска силикатными красками за 2 раза ранее окрашенных фасадов: по штукатурке с земли и лесов</t>
  </si>
  <si>
    <t>ТЕРр62-24-2</t>
  </si>
  <si>
    <t>Окраска силикатными красками за 2 раза ранее окрашенных фасадов: по штукатурке с лестниц</t>
  </si>
  <si>
    <t>ТЕРр62-24-3</t>
  </si>
  <si>
    <t>Окраска силикатными красками за 2 раза ранее окрашенных фасадов: по штукатурке с люлек</t>
  </si>
  <si>
    <t>ТЕРр62-24-4</t>
  </si>
  <si>
    <t>Окраска силикатными красками за 2 раза ранее окрашенных фасадов: по кирпичу с земли и лесов</t>
  </si>
  <si>
    <t>ТЕРр62-24-5</t>
  </si>
  <si>
    <t>Окраска силикатными красками за 2 раза ранее окрашенных фасадов: по кирпичу с лестниц</t>
  </si>
  <si>
    <t>ТЕРр62-24-6</t>
  </si>
  <si>
    <t>Окраска силикатными красками за 2 раза ранее окрашенных фасадов: по кирпичу с люлек</t>
  </si>
  <si>
    <t>ТЕРр62-24-7</t>
  </si>
  <si>
    <t>Окраска силикатными красками за 2 раза ранее окрашенных фасадов: по дереву с земли и лесов</t>
  </si>
  <si>
    <t>ТЕРр62-24-8</t>
  </si>
  <si>
    <t>Окраска силикатными красками за 2 раза ранее окрашенных фасадов: по дереву с лестниц</t>
  </si>
  <si>
    <t>ТЕРр62-24-9</t>
  </si>
  <si>
    <t>При окраске рустованных ранее окрашенных фасадов добавлять: к расценке 62-24-1</t>
  </si>
  <si>
    <t>ТЕРр62-24-10</t>
  </si>
  <si>
    <t>При окраске рустованных ранее окрашенных фасадов добавлять: к расценке 62-24-2</t>
  </si>
  <si>
    <t>ТЕРр62-24-11</t>
  </si>
  <si>
    <t>При окраске рустованных ранее окрашенных фасадов добавлять: к расценке 62-24-3</t>
  </si>
  <si>
    <t>ТЕРр62-24-12</t>
  </si>
  <si>
    <t>При окраске рустованных ранее окрашенных фасадов добавлять: к расценке 62-24-4</t>
  </si>
  <si>
    <t>ТЕРр62-24-13</t>
  </si>
  <si>
    <t>При окраске рустованных ранее окрашенных фасадов добавлять: к расценке 62-24-5</t>
  </si>
  <si>
    <t>ТЕРр62-24-14</t>
  </si>
  <si>
    <t>При окраске рустованных ранее окрашенных фасадов добавлять: к расценке 62-24-6</t>
  </si>
  <si>
    <t>Подготовка поверхности ранее окрашенных фасадов под окраску перхлорвиниловыми красками</t>
  </si>
  <si>
    <t>ТЕРр62-25-1</t>
  </si>
  <si>
    <t>Огрунтовка ранее окрашенных фасадов под окраску перхлорвиниловыми красками: простых с земли и лесов</t>
  </si>
  <si>
    <t>ТЕРр62-25-2</t>
  </si>
  <si>
    <t>Огрунтовка ранее окрашенных фасадов под окраску перхлорвиниловыми красками: простых с лестниц</t>
  </si>
  <si>
    <t>ТЕРр62-25-3</t>
  </si>
  <si>
    <t>Огрунтовка ранее окрашенных фасадов под окраску перхлорвиниловыми красками: простых с люлек</t>
  </si>
  <si>
    <t>ТЕРр62-25-4</t>
  </si>
  <si>
    <t>Огрунтовка ранее окрашенных фасадов под окраску перхлорвиниловыми красками: сложных с земли и лесов</t>
  </si>
  <si>
    <t>ТЕРр62-25-5</t>
  </si>
  <si>
    <t>Огрунтовка ранее окрашенных фасадов под окраску перхлорвиниловыми красками: сложных с лестниц</t>
  </si>
  <si>
    <t>ТЕРр62-25-6</t>
  </si>
  <si>
    <t>Огрунтовка ранее окрашенных фасадов под окраску перхлорвиниловыми красками: сложных с люлек</t>
  </si>
  <si>
    <t>ТЕРр62-25-7</t>
  </si>
  <si>
    <t>Шпатлевка ранее окрашенных фасадов под окраску перхлорвиниловыми красками: простых с земли и лесов</t>
  </si>
  <si>
    <t>ТЕРр62-25-8</t>
  </si>
  <si>
    <t>Шпатлевка ранее окрашенных фасадов под окраску перхлорвиниловыми красками: простых с лестниц</t>
  </si>
  <si>
    <t>ТЕРр62-25-9</t>
  </si>
  <si>
    <t>Шпатлевка ранее окрашенных фасадов под окраску перхлорвиниловыми красками: простых с люлек</t>
  </si>
  <si>
    <t>ТЕРр62-25-10</t>
  </si>
  <si>
    <t>Шпатлевка ранее окрашенных фасадов под окраску перхлорвиниловыми красками: сложных с земли и лесов</t>
  </si>
  <si>
    <t>ТЕРр62-25-11</t>
  </si>
  <si>
    <t>Шпатлевка ранее окрашенных фасадов под окраску перхлорвиниловыми красками: сложных с лестниц</t>
  </si>
  <si>
    <t>ТЕРр62-25-12</t>
  </si>
  <si>
    <t>Шпатлевка ранее окрашенных фасадов под окраску перхлорвиниловыми красками: сложных с люлек</t>
  </si>
  <si>
    <t>Окраска перхлорвиниловыми красками по подготовленной поверхности фасадов</t>
  </si>
  <si>
    <t>ТЕРр62-26-1</t>
  </si>
  <si>
    <t>Окраска перхлорвиниловыми красками по подготовленной поверхности фасадов: простых за 1 раз с земли и лесов</t>
  </si>
  <si>
    <t>ТЕРр62-26-2</t>
  </si>
  <si>
    <t>Окраска перхлорвиниловыми красками по подготовленной поверхности фасадов: простых за 1 раз с лестниц</t>
  </si>
  <si>
    <t>ТЕРр62-26-3</t>
  </si>
  <si>
    <t>Окраска перхлорвиниловыми красками по подготовленной поверхности фасадов: простых за 1 раз с люлек</t>
  </si>
  <si>
    <t>ТЕРр62-26-4</t>
  </si>
  <si>
    <t>Окраска перхлорвиниловыми красками по подготовленной поверхности фасадов: простых за 2 раза с земли и лесов</t>
  </si>
  <si>
    <t>ТЕРр62-26-5</t>
  </si>
  <si>
    <t>Окраска перхлорвиниловыми красками по подготовленной поверхности фасадов: простых за 2 раза с лестниц</t>
  </si>
  <si>
    <t>ТЕРр62-26-6</t>
  </si>
  <si>
    <t>Окраска перхлорвиниловыми красками по подготовленной поверхности фасадов: простых за 2 раза с люлек</t>
  </si>
  <si>
    <t>ТЕРр62-26-7</t>
  </si>
  <si>
    <t>Окраска перхлорвиниловыми красками по подготовленной поверхности фасадов: сложных за 1 раз с земли и лесов</t>
  </si>
  <si>
    <t>ТЕРр62-26-8</t>
  </si>
  <si>
    <t>Окраска перхлорвиниловыми красками по подготовленной поверхности фасадов: сложных за 1 раз с лестниц</t>
  </si>
  <si>
    <t>ТЕРр62-26-9</t>
  </si>
  <si>
    <t>Окраска перхлорвиниловыми красками по подготовленной поверхности фасадов: сложных за 1 раз с люлек</t>
  </si>
  <si>
    <t>ТЕРр62-26-10</t>
  </si>
  <si>
    <t>Окраска перхлорвиниловыми красками по подготовленной поверхности фасадов: сложных за 2 раза с земли и лесов</t>
  </si>
  <si>
    <t>ТЕРр62-26-11</t>
  </si>
  <si>
    <t>Окраска перхлорвиниловыми красками по подготовленной поверхности фасадов: сложных за 2 раза с лестниц</t>
  </si>
  <si>
    <t>ТЕРр62-26-12</t>
  </si>
  <si>
    <t>Окраска перхлорвиниловыми красками по подготовленной поверхности фасадов: сложных за 2 раза с люлек</t>
  </si>
  <si>
    <t>Сплошная шпаклевка ранее оштукатуренных поверхностей цементно-поливинилацетатным составом (ЦПВА)</t>
  </si>
  <si>
    <t>ТЕРр62-27-1</t>
  </si>
  <si>
    <t>Сплошная шпаклевка ранее оштукатуренных поверхностей цементно-поливинилацетатным составом: с лесов и земли</t>
  </si>
  <si>
    <t>ТЕРр62-27-2</t>
  </si>
  <si>
    <t>Сплошная шпаклевка ранее оштукатуренных поверхностей цементно-поливинилацетатным составом: с лестниц</t>
  </si>
  <si>
    <t>ТЕРр62-27-3</t>
  </si>
  <si>
    <t>Сплошная шпаклевка ранее оштукатуренных поверхностей цементно-поливинилацетатным составом: с люлек</t>
  </si>
  <si>
    <t xml:space="preserve">Раздел 3. </t>
  </si>
  <si>
    <t>Окраска масляными составами ранее окрашенных металлических кровель</t>
  </si>
  <si>
    <t>ТЕРр62-28-1</t>
  </si>
  <si>
    <t>Окраска масляными составами ранее окрашенных металлических кровель: за один раз</t>
  </si>
  <si>
    <t>ТЕРр62-28-2</t>
  </si>
  <si>
    <t>Окраска масляными составами ранее окрашенных металлических кровель: за два раза</t>
  </si>
  <si>
    <t>Окраска масляными составами ранее окрашенных больших металлических поверхностей (кроме крыш)</t>
  </si>
  <si>
    <t>ТЕРр62-29-1</t>
  </si>
  <si>
    <t>Окраска масляными составами ранее окрашенных больших металлических поверхностей (кроме крыш): за один раз</t>
  </si>
  <si>
    <t>ТЕРр62-29-2</t>
  </si>
  <si>
    <t>Окраска масляными составами ранее окрашенных больших металлических поверхностей (кроме крыш): за два раза</t>
  </si>
  <si>
    <t>Окраска масляными составами ранее окрашенных водосточных труб</t>
  </si>
  <si>
    <t>ТЕРр62-30-1</t>
  </si>
  <si>
    <t>Окраска масляными составами ранее окрашенных водосточных труб: за один раз с земли и лесов</t>
  </si>
  <si>
    <t>ТЕРр62-30-2</t>
  </si>
  <si>
    <t>Окраска масляными составами ранее окрашенных водосточных труб: за один раз с лестниц</t>
  </si>
  <si>
    <t>ТЕРр62-30-3</t>
  </si>
  <si>
    <t>Окраска масляными составами ранее окрашенных водосточных труб: за один раз с люлек</t>
  </si>
  <si>
    <t>ТЕРр62-30-4</t>
  </si>
  <si>
    <t>Окраска масляными составами ранее окрашенных водосточных труб: за два раза с земли и лесов</t>
  </si>
  <si>
    <t>ТЕРр62-30-5</t>
  </si>
  <si>
    <t>Окраска масляными составами ранее окрашенных водосточных труб: за два раза с лестниц</t>
  </si>
  <si>
    <t>ТЕРр62-30-6</t>
  </si>
  <si>
    <t>Окраска масляными составами ранее окрашенных водосточных труб: за два раза с люлек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</si>
  <si>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</t>
  </si>
  <si>
    <t>ТЕРр62-31-1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</si>
  <si>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покрытий: за один раз с земли и лесов</t>
  </si>
  <si>
    <t>ТЕРр62-31-2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</si>
  <si>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покрытий: за один раз с лестниц</t>
  </si>
  <si>
    <t>ТЕРр62-31-3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</si>
  <si>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покрытий: за один раз с люлек</t>
  </si>
  <si>
    <t>ТЕРр62-31-4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</si>
  <si>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покрытий: за два раза с земли и лесов</t>
  </si>
  <si>
    <t>ТЕРр62-31-5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</si>
  <si>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покрытий: за два раза с лестниц</t>
  </si>
  <si>
    <t>ТЕРр62-31-6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</si>
  <si>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покрытий: за два раза с люлек</t>
  </si>
  <si>
    <t>Окраска масляными составами ранее окрашенных поверхностей стальных и чугунных труб</t>
  </si>
  <si>
    <t>ТЕРр62-32-1</t>
  </si>
  <si>
    <t>Окраска масляными составами ранее окрашенных поверхностей труб: стальных за 1 раз</t>
  </si>
  <si>
    <t>ТЕРр62-32-2</t>
  </si>
  <si>
    <t>Окраска масляными составами ранее окрашенных поверхностей труб: стальных за 2 раза</t>
  </si>
  <si>
    <t>ТЕРр62-32-3</t>
  </si>
  <si>
    <t>Окраска масляными составами ранее окрашенных поверхностей труб: чугунных за 1 раз</t>
  </si>
  <si>
    <t>ТЕРр62-32-4</t>
  </si>
  <si>
    <t>Окраска масляными составами ранее окрашенных поверхностей труб: чугунных за 2 раза</t>
  </si>
  <si>
    <t>Окраска масляными составами ранее окрашенных поверхностей радиаторов и ребристых труб отопления</t>
  </si>
  <si>
    <t>ТЕРр62-33-1</t>
  </si>
  <si>
    <t>Окраска масляными составами ранее окрашенных поверхностей радиаторов и ребристых труб отопления: за 1 раз</t>
  </si>
  <si>
    <t>ТЕРр62-33-2</t>
  </si>
  <si>
    <t>Окраска масляными составами ранее окрашенных поверхностей радиаторов и ребристых труб отопления: за 2 раза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</si>
  <si>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</t>
  </si>
  <si>
    <t>ТЕРр62-34-1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</si>
  <si>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м2: за 1 раз</t>
  </si>
  <si>
    <t>ТЕРр62-34-2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</si>
  <si>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м2: за 2 раза</t>
  </si>
  <si>
    <t>Окраска масляными составами ранее окрашенных металлических решеток, оград и ограждений</t>
  </si>
  <si>
    <t>ТЕРр62-35-1</t>
  </si>
  <si>
    <t>Окраска масляными составами ранее окрашенных металлических решеток и оград: без рельефа за 1 раз</t>
  </si>
  <si>
    <t>ТЕРр62-35-2</t>
  </si>
  <si>
    <t>Окраска масляными составами ранее окрашенных металлических решеток и оград: без рельефа за 2 раза</t>
  </si>
  <si>
    <t>ТЕРр62-35-3</t>
  </si>
  <si>
    <t>Окраска масляными составами ранее окрашенных металлических решеток и оград: художественных с рельефом за 1 раз</t>
  </si>
  <si>
    <t>ТЕРр62-35-4</t>
  </si>
  <si>
    <t>Окраска масляными составами ранее окрашенных металлических решеток и оград: художественных с рельефом за 2 раза</t>
  </si>
  <si>
    <t>ТЕРр62-35-5</t>
  </si>
  <si>
    <t>Окраска масляными составами ранее окрашенных металлических ограждений: пешеходных</t>
  </si>
  <si>
    <t>ТЕРр62-35-6</t>
  </si>
  <si>
    <t>Окраска масляными составами ранее окрашенных металлических ограждений: силовых</t>
  </si>
  <si>
    <t>ТЕРр62-35-7</t>
  </si>
  <si>
    <t>Окраска масляными составами ранее окрашенных металлических ограждений: тросовых</t>
  </si>
  <si>
    <t>Окраска алюминиевым порошком ранее окрашенных металлических поверхностей</t>
  </si>
  <si>
    <t>ТЕРр62-36-1</t>
  </si>
  <si>
    <t>Окраска алюминиевым порошком ранее окрашенных металлических поверхностей: водосточных труб за 1 раз</t>
  </si>
  <si>
    <t>ТЕРр62-36-2</t>
  </si>
  <si>
    <t>Окраска алюминиевым порошком ранее окрашенных металлических поверхностей: водосточных труб за 2 раза</t>
  </si>
  <si>
    <t>ТЕРр62-36-3</t>
  </si>
  <si>
    <t>Окраска алюминиевым порошком ранее окрашенных металлических поверхностей: площадью до 5 м2 за 1 раз</t>
  </si>
  <si>
    <t>ТЕРр62-36-4</t>
  </si>
  <si>
    <t>Окраска алюминиевым порошком ранее окрашенных металлических поверхностей: площадью до 5 м2 за 2 раза</t>
  </si>
  <si>
    <t>ТЕРр62-36-5</t>
  </si>
  <si>
    <t>Окраска алюминиевым порошком ранее окрашенных металлических поверхностей: площадью более 5 м2 за 1 раз</t>
  </si>
  <si>
    <t>ТЕРр62-36-6</t>
  </si>
  <si>
    <t>Окраска алюминиевым порошком ранее окрашенных металлических поверхностей: площадью более 5 м2 за 2 раза</t>
  </si>
  <si>
    <t>ТЕРр62-36-7</t>
  </si>
  <si>
    <t>При работе с приставных лестниц добавлять: к расценке 62-36-1</t>
  </si>
  <si>
    <t>ТЕРр62-36-8</t>
  </si>
  <si>
    <t>При работе с приставных лестниц добавлять: к расценке 62-36-2</t>
  </si>
  <si>
    <t>ТЕРр62-36-9</t>
  </si>
  <si>
    <t>При работе с приставных лестниц добавлять: к расценке 62-36-3</t>
  </si>
  <si>
    <t>ТЕРр62-36-10</t>
  </si>
  <si>
    <t>При работе с приставных лестниц добавлять: к расценке 62-36-4</t>
  </si>
  <si>
    <t>ТЕРр62-36-11</t>
  </si>
  <si>
    <t>При работе с приставных лестниц добавлять: к расценке 62-36-5</t>
  </si>
  <si>
    <t>ТЕРр62-36-12</t>
  </si>
  <si>
    <t>При работе с приставных лестниц добавлять: к расценке 62-36-6</t>
  </si>
  <si>
    <t>ТЕРр62-36-13</t>
  </si>
  <si>
    <t>При работе с подвесных люлек добавлять: к расценке 62-36-1</t>
  </si>
  <si>
    <t>ТЕРр62-36-14</t>
  </si>
  <si>
    <t>При работе с подвесных люлек добавлять: к расценке 62-36-2</t>
  </si>
  <si>
    <t>ТЕРр62-36-15</t>
  </si>
  <si>
    <t>При работе с подвесных люлек добавлять: к расценке 62-36-3</t>
  </si>
  <si>
    <t>ТЕРр62-36-16</t>
  </si>
  <si>
    <t>При работе с подвесных люлек добавлять: к расценке 62-36-4</t>
  </si>
  <si>
    <t>ТЕРр62-36-17</t>
  </si>
  <si>
    <t>При работе с подвесных люлек добавлять: к расценке 62-36-5</t>
  </si>
  <si>
    <t>ТЕРр62-36-18</t>
  </si>
  <si>
    <t>При работе с подвесных люлек добавлять: к расценке 62-36-6</t>
  </si>
  <si>
    <t xml:space="preserve">Раздел 4. </t>
  </si>
  <si>
    <t>Окраска известковыми составами печей, стояков и труб</t>
  </si>
  <si>
    <t>ТЕРр62-37-1</t>
  </si>
  <si>
    <t>Окраска известковыми составами печей, стояков, труб</t>
  </si>
  <si>
    <t>Перематовка стекол</t>
  </si>
  <si>
    <t>ТЕРр62-38-1</t>
  </si>
  <si>
    <t>Промывка поверхности, окрашенной масляными красками</t>
  </si>
  <si>
    <t>ТЕРр62-39-1</t>
  </si>
  <si>
    <t>Промывка поверхности, окрашенной масляными красками: стен и фасадов</t>
  </si>
  <si>
    <t>ТЕРр62-39-2</t>
  </si>
  <si>
    <t>Промывка поверхности, окрашенной масляными красками: потолков</t>
  </si>
  <si>
    <t>ТЕРр62-39-3</t>
  </si>
  <si>
    <t>Промывка поверхности, окрашенной масляными красками: окон и дверей</t>
  </si>
  <si>
    <t>ТЕРр62-39-4</t>
  </si>
  <si>
    <t>При промывке фасадов с лестниц добавлять: к расценке 62-39-1</t>
  </si>
  <si>
    <t>ТЕРр62-39-5</t>
  </si>
  <si>
    <t>При промывке фасадов с лестниц добавлять: к расценке 62-39-3</t>
  </si>
  <si>
    <t>ТЕРр62-39-6</t>
  </si>
  <si>
    <t>При промывке фасадов с люлек добавлять: к расценке 62-39-1</t>
  </si>
  <si>
    <t>ТЕРр62-39-7</t>
  </si>
  <si>
    <t>При промывке фасадов с люлек добавлять: к расценке 62-39-3</t>
  </si>
  <si>
    <t>Протирка олифой поверхности, окрашенной масляными красками</t>
  </si>
  <si>
    <t>ТЕРр62-40-1</t>
  </si>
  <si>
    <t>Протирка олифой поверхности, окрашенной масляными красками: стен, потолков и фасадов</t>
  </si>
  <si>
    <t>ТЕРр62-40-2</t>
  </si>
  <si>
    <t>Протирка олифой поверхности, окрашенной масляными красками: полов</t>
  </si>
  <si>
    <t>ТЕРр62-40-3</t>
  </si>
  <si>
    <t>Протирка олифой поверхности, окрашенной масляными красками: окон и дверей</t>
  </si>
  <si>
    <t>ТЕРр62-40-4</t>
  </si>
  <si>
    <t>При протирке фасадов с лестниц добавлять: к расценке 62-40-1</t>
  </si>
  <si>
    <t>ТЕРр62-40-5</t>
  </si>
  <si>
    <t>При протирке фасадов с лестниц добавлять: к расценке 62-40-3</t>
  </si>
  <si>
    <t>ТЕРр62-40-6</t>
  </si>
  <si>
    <t>При протирке фасадов с люлек добавлять: к расценке 62-40-1</t>
  </si>
  <si>
    <t>ТЕРр62-40-7</t>
  </si>
  <si>
    <t>При протирке фасадов с люлек добавлять: к расценке 62-40-3</t>
  </si>
  <si>
    <t>Очистка вручную поверхности фасадов от перхлорвиниловых и масляных красок</t>
  </si>
  <si>
    <t>ТЕРр62-41-1</t>
  </si>
  <si>
    <t>Очистка вручную поверхности фасадов от перхлорвиниловых и масляных красок: с земли и лесов</t>
  </si>
  <si>
    <t>ТЕРр62-41-2</t>
  </si>
  <si>
    <t>Очистка вручную поверхности фасадов от перхлорвиниловых и масляных красок: с лестниц</t>
  </si>
  <si>
    <t>ТЕРр62-41-3</t>
  </si>
  <si>
    <t>Очистка вручную поверхности фасадов от перхлорвиниловых и масляных красок: с люлек</t>
  </si>
  <si>
    <t>Протравка цементной штукатурки нейтрализующим раствором</t>
  </si>
  <si>
    <t>ТЕРр62-42-1</t>
  </si>
  <si>
    <t>Меловая защита стекол при окраске фасадов</t>
  </si>
  <si>
    <t>ТЕРр62-43-1</t>
  </si>
  <si>
    <t>Меловая защита стекол при окраске фасадов: с земли и лесов</t>
  </si>
  <si>
    <t>ТЕРр62-43-2</t>
  </si>
  <si>
    <t>Меловая защита стекол при окраске фасадов: с лестниц</t>
  </si>
  <si>
    <t>ТЕРр62-43-3</t>
  </si>
  <si>
    <t>Меловая защита стекол при окраске фасадов: с люлек</t>
  </si>
  <si>
    <t>Огнезащитная пропитка текстильных тканевых покрытий</t>
  </si>
  <si>
    <t>ТЕРр62-44-1</t>
  </si>
  <si>
    <t>Снятие многослойных лакокрасочных покрытий методом обжига</t>
  </si>
  <si>
    <t>ТЕРр62-45-1</t>
  </si>
  <si>
    <t>Снятие многослойных лакокрасочных покрытий: с дверных полотен</t>
  </si>
  <si>
    <t>ТЕРр62-45-2</t>
  </si>
  <si>
    <t>Снятие многослойных лакокрасочных покрытий: с дверных коробок</t>
  </si>
  <si>
    <t>ТЕРр62-45-3</t>
  </si>
  <si>
    <t>Снятие многослойных лакокрасочных покрытий: с оконных коробок</t>
  </si>
  <si>
    <t>ТЕРр62-45-4</t>
  </si>
  <si>
    <t>Снятие многослойных лакокрасочных покрытий: с оконных переплетов</t>
  </si>
  <si>
    <t>ТЕРр62-45-5</t>
  </si>
  <si>
    <t>Снятие многослойных лакокрасочных покрытий: с металлоконструкций пролетных строений мостов, путепроводов и решеток</t>
  </si>
  <si>
    <t>Очистка поверхностей от стойких химических загрязнений</t>
  </si>
  <si>
    <t>ТЕРр62-46-1</t>
  </si>
  <si>
    <r>
      <t xml:space="preserve">              </t>
    </r>
    <r>
      <rPr>
        <sz val="18"/>
        <rFont val="Arial"/>
        <family val="2"/>
        <charset val="204"/>
      </rPr>
      <t xml:space="preserve"> ТЕРр63</t>
    </r>
  </si>
  <si>
    <t>Раздел 1. Смена стекол толщиной 2-3 мм на штапиках по замазке</t>
  </si>
  <si>
    <t>ТЕРр63-1-1</t>
  </si>
  <si>
    <t>Смена стекол толщиной 2-3 мм на штапиках по замазке: в деревянных переплетах при площади стекла до 0,25 м2</t>
  </si>
  <si>
    <t>ТЕРр63-1-2</t>
  </si>
  <si>
    <t>Смена стекол толщиной 2-3 мм на штапиках по замазке: в деревянных переплетах при площади стекла до 0,5 м2</t>
  </si>
  <si>
    <t>ТЕРр63-1-3</t>
  </si>
  <si>
    <t>Смена стекол толщиной 2-3 мм на штапиках по замазке: в деревянных переплетах при площади стекла до 1,0 м2</t>
  </si>
  <si>
    <t>ТЕРр63-1-4</t>
  </si>
  <si>
    <t>Смена стекол толщиной 2-3 мм на штапиках по замазке: в металлических переплетах при площади стекла до 0,25 м2</t>
  </si>
  <si>
    <t>ТЕРр63-1-5</t>
  </si>
  <si>
    <t>Смена стекол толщиной 2-3 мм на штапиках по замазке: в металлических переплетах при площади стекла до 0,5 м2</t>
  </si>
  <si>
    <t>ТЕРр63-1-6</t>
  </si>
  <si>
    <t>Смена стекол толщиной 2-3 мм на штапиках по замазке: в металлических переплетах при площади стекла до 1,0 м2</t>
  </si>
  <si>
    <t>ТЕРр63-1-7</t>
  </si>
  <si>
    <t>При работе с приставных лестниц добавлять: к расценке 63-1-1</t>
  </si>
  <si>
    <t>ТЕРр63-1-8</t>
  </si>
  <si>
    <t>При работе с приставных лестниц добавлять: к расценке 63-1-2</t>
  </si>
  <si>
    <t>ТЕРр63-1-9</t>
  </si>
  <si>
    <t>При работе с приставных лестниц добавлять: к расценке 63-1-3</t>
  </si>
  <si>
    <t>ТЕРр63-1-10</t>
  </si>
  <si>
    <t>При работе с приставных лестниц добавлять: к расценке 63-1-4</t>
  </si>
  <si>
    <t>ТЕРр63-1-11</t>
  </si>
  <si>
    <t>При работе с приставных лестниц добавлять: к расценке 63-1-5</t>
  </si>
  <si>
    <t>ТЕРр63-1-12</t>
  </si>
  <si>
    <t>При работе с приставных лестниц добавлять: к расценке 63-1-6</t>
  </si>
  <si>
    <t>ТЕРр63-1-13</t>
  </si>
  <si>
    <t>При работе с люлек добавлять: к расценке 63-1-1</t>
  </si>
  <si>
    <t>ТЕРр63-1-14</t>
  </si>
  <si>
    <t>При работе с люлек добавлять: к расценке 63-1-2</t>
  </si>
  <si>
    <t>ТЕРр63-1-15</t>
  </si>
  <si>
    <t>При работе с люлек добавлять: к расценке 63-1-3</t>
  </si>
  <si>
    <t>ТЕРр63-1-16</t>
  </si>
  <si>
    <t>При работе с люлек добавлять: к расценке 63-1-4</t>
  </si>
  <si>
    <t>ТЕРр63-1-17</t>
  </si>
  <si>
    <t>При работе с люлек добавлять: к расценке 63-1-5</t>
  </si>
  <si>
    <t>ТЕРр63-1-18</t>
  </si>
  <si>
    <t>При работе с люлек добавлять: к расценке 63-1-6</t>
  </si>
  <si>
    <t>Раздел 2. Смена стекол толщиной 4-6 мм в деревянных переплетах</t>
  </si>
  <si>
    <t>ТЕРр63-2-1</t>
  </si>
  <si>
    <t>Смена стекол толщиной 4-6 мм в деревянных переплетах на штапиках: по замазке при площади стекол до 0,25 м2</t>
  </si>
  <si>
    <t>ТЕРр63-2-2</t>
  </si>
  <si>
    <t>Смена стекол толщиной 4-6 мм в деревянных переплетах на штапиках: по замазке при площади стекол до 0,5 м2</t>
  </si>
  <si>
    <t>ТЕРр63-2-3</t>
  </si>
  <si>
    <t>Смена стекол толщиной 4-6 мм в деревянных переплетах на штапиках: по замазке при площади стекол до 1,0 м2</t>
  </si>
  <si>
    <t>ТЕРр63-2-4</t>
  </si>
  <si>
    <t>Смена стекол толщиной 4-6 мм в деревянных переплетах на штапиках: по эластичной прокладке при площади стекол до 0,25 м2</t>
  </si>
  <si>
    <t>ТЕРр63-2-5</t>
  </si>
  <si>
    <t>Смена стекол толщиной 4-6 мм в деревянных переплетах на штапиках: по эластичной прокладке при площади стекол до 0,5 м2</t>
  </si>
  <si>
    <t>ТЕРр63-2-6</t>
  </si>
  <si>
    <t>Смена стекол толщиной 4-6 мм в деревянных переплетах на штапиках: по эластичной прокладке при площади стекол до 1,0 м2</t>
  </si>
  <si>
    <t>ТЕРр63-2-7</t>
  </si>
  <si>
    <t>При работе с лестниц добавлять: к расценке 63-2-1</t>
  </si>
  <si>
    <t>ТЕРр63-2-8</t>
  </si>
  <si>
    <t>При работе с лестниц добавлять: к расценке 63-2-2</t>
  </si>
  <si>
    <t>ТЕРр63-2-9</t>
  </si>
  <si>
    <t>При работе с лестниц добавлять: к расценке 63-2-3</t>
  </si>
  <si>
    <t>ТЕРр63-2-10</t>
  </si>
  <si>
    <t>При работе с лестниц добавлять: к расценке 63-2-4</t>
  </si>
  <si>
    <t>ТЕРр63-2-11</t>
  </si>
  <si>
    <t>При работе с лестниц добавлять: к расценке 63-2-5</t>
  </si>
  <si>
    <t>ТЕРр63-2-12</t>
  </si>
  <si>
    <t>При работе с лестниц добавлять: к расценке 63-2-6</t>
  </si>
  <si>
    <t>ТЕРр63-2-13</t>
  </si>
  <si>
    <t>При работе с люлек добавлять: к расценке 63-2-1</t>
  </si>
  <si>
    <t>ТЕРр63-2-14</t>
  </si>
  <si>
    <t>При работе с люлек добавлять: к расценке 63-2-2</t>
  </si>
  <si>
    <t>ТЕРр63-2-15</t>
  </si>
  <si>
    <t>При работе с люлек добавлять: к расценке 63-2-3</t>
  </si>
  <si>
    <t>ТЕРр63-2-16</t>
  </si>
  <si>
    <t>При работе с люлек добавлять: к расценке 63-2-4</t>
  </si>
  <si>
    <t>ТЕРр63-2-17</t>
  </si>
  <si>
    <t>При работе с люлек добавлять: к расценке 63-2-5</t>
  </si>
  <si>
    <t>ТЕРр63-2-18</t>
  </si>
  <si>
    <t>При работе с люлек добавлять: к расценке 63-2-6</t>
  </si>
  <si>
    <t>Раздел 3. Смена стекол толщиной 4-6 мм в металлических переплетах</t>
  </si>
  <si>
    <t>ТЕРр63-3-1</t>
  </si>
  <si>
    <t>Смена стекол толщиной 4-6 мм в металлических переплетах на штапиках: по замазке при площади стекол до 0,25 м2</t>
  </si>
  <si>
    <t>ТЕРр63-3-2</t>
  </si>
  <si>
    <t>Смена стекол толщиной 4-6 мм в металлических переплетах на штапиках: по замазке при площади стекол до 0,5 м2</t>
  </si>
  <si>
    <t>ТЕРр63-3-3</t>
  </si>
  <si>
    <t>Смена стекол толщиной 4-6 мм в металлических переплетах на штапиках: по замазке при площади стекол до 1,0 м2</t>
  </si>
  <si>
    <t>ТЕРр63-3-4</t>
  </si>
  <si>
    <t>Смена стекол толщиной 4-6 мм в металлических переплетах на штапиках: по эластичной прокладке при площади стекол до 0,25 м2</t>
  </si>
  <si>
    <t>ТЕРр63-3-5</t>
  </si>
  <si>
    <t>Смена стекол толщиной 4-6 мм в металлических переплетах на штапиках: по эластичной прокладке при площади стекол до 0,5 м2</t>
  </si>
  <si>
    <t>ТЕРр63-3-6</t>
  </si>
  <si>
    <t>Смена стекол толщиной 4-6 мм в металлических переплетах на штапиках: по эластичной прокладке при площади стекол до 1,0 м2</t>
  </si>
  <si>
    <t>ТЕРр63-3-7</t>
  </si>
  <si>
    <t>При работе с лестниц добавлять: к расценке 63-3-1</t>
  </si>
  <si>
    <t>ТЕРр63-3-8</t>
  </si>
  <si>
    <t>При работе с лестниц добавлять: к расценке 63-3-2</t>
  </si>
  <si>
    <t>ТЕРр63-3-9</t>
  </si>
  <si>
    <t>При работе с лестниц добавлять: к расценке 63-3-3</t>
  </si>
  <si>
    <t>ТЕРр63-3-10</t>
  </si>
  <si>
    <t>При работе с лестниц добавлять: к расценке 63-3-4</t>
  </si>
  <si>
    <t>ТЕРр63-3-11</t>
  </si>
  <si>
    <t>При работе с лестниц добавлять: к расценке 63-3-5</t>
  </si>
  <si>
    <t>ТЕРр63-3-12</t>
  </si>
  <si>
    <t>При работе с лестниц добавлять: к расценке 63-3-6</t>
  </si>
  <si>
    <t>ТЕРр63-3-13</t>
  </si>
  <si>
    <t>При работе с люлек добавлять: к расценке 63-3-1</t>
  </si>
  <si>
    <t>ТЕРр63-3-14</t>
  </si>
  <si>
    <t>При работе с люлек добавлять: к расценке 63-3-2</t>
  </si>
  <si>
    <t>ТЕРр63-3-15</t>
  </si>
  <si>
    <t>При работе с люлек добавлять: к расценке 63-3-3</t>
  </si>
  <si>
    <t>ТЕРр63-3-16</t>
  </si>
  <si>
    <t>При работе с люлек добавлять: к расценке 63-3-4</t>
  </si>
  <si>
    <t>ТЕРр63-3-17</t>
  </si>
  <si>
    <t>При работе с люлек добавлять: к расценке 63-3-5</t>
  </si>
  <si>
    <t>ТЕРр63-3-18</t>
  </si>
  <si>
    <t>При работе с люлек добавлять: к расценке 63-3-6</t>
  </si>
  <si>
    <t>Раздел 4. Перемазка фальцев в деревянных переплетах</t>
  </si>
  <si>
    <t>ТЕРр63-4-1</t>
  </si>
  <si>
    <t>Перемазка фальцев в деревянных переплетах: с земли или лесов</t>
  </si>
  <si>
    <t>ТЕРр63-4-2</t>
  </si>
  <si>
    <t>Перемазка фальцев в деревянных переплетах: с лестниц</t>
  </si>
  <si>
    <t>ТЕРр63-4-3</t>
  </si>
  <si>
    <t>Перемазка фальцев в деревянных переплетах: с люлек</t>
  </si>
  <si>
    <t>Раздел 5. Снятие обоев</t>
  </si>
  <si>
    <t>ТЕРр63-5-1</t>
  </si>
  <si>
    <t>Снятие обоев: простых и улучшенных</t>
  </si>
  <si>
    <t>ТЕРр63-5-2</t>
  </si>
  <si>
    <t>Снятие обоев: высококачественных и типа «Линкруста»</t>
  </si>
  <si>
    <t>Раздел 6. Смена обоев</t>
  </si>
  <si>
    <t>ТЕРр63-6-1</t>
  </si>
  <si>
    <t>Смена обоев: обыкновенного качества</t>
  </si>
  <si>
    <t>ТЕРр63-6-2</t>
  </si>
  <si>
    <t>Смена обоев: улучшенных</t>
  </si>
  <si>
    <t>ТЕРр63-6-3</t>
  </si>
  <si>
    <t>Смена обоев: высококачественных</t>
  </si>
  <si>
    <t>Раздел 7. Разборка облицовки стен из плит естественного камня и из глазурованных плиток</t>
  </si>
  <si>
    <t>ТЕРр63-7-1</t>
  </si>
  <si>
    <t>Разборка облицовки стен: из мраморных плит</t>
  </si>
  <si>
    <t>ТЕРр63-7-2</t>
  </si>
  <si>
    <t>Разборка облицовки стен: из гранитных плит</t>
  </si>
  <si>
    <t>ТЕРр63-7-3</t>
  </si>
  <si>
    <t>Разборка облицовки стен: из известковых плит</t>
  </si>
  <si>
    <t>ТЕРр63-7-4</t>
  </si>
  <si>
    <t>Разборка облицовки стен: из железобетонных плит</t>
  </si>
  <si>
    <t>ТЕРр63-7-5</t>
  </si>
  <si>
    <t>Разборка облицовки стен: из керамических глазурованных плиток</t>
  </si>
  <si>
    <t>Раздел 8. Ремонт облицовки из мраморных плит</t>
  </si>
  <si>
    <t>ТЕРр63-8-1</t>
  </si>
  <si>
    <t>Ремонт облицовки из мраморных плит площадью до 1 м2: стен гладких</t>
  </si>
  <si>
    <t>ТЕРр63-8-2</t>
  </si>
  <si>
    <t>Ремонт облицовки из мраморных плит площадью до 1 м2: колонн прямоугольных</t>
  </si>
  <si>
    <t>ТЕРр63-8-3</t>
  </si>
  <si>
    <t>Ремонт облицовки из мраморных плит площадью до 1 м2: колонн круглых</t>
  </si>
  <si>
    <t>ТЕРр63-8-4</t>
  </si>
  <si>
    <t>Ремонт облицовки из мраморных плит площадью до 1 м2: капителей, карнизов, отливов</t>
  </si>
  <si>
    <t>Раздел 9. Ремонт облицовки из керамических глазурованных плиток</t>
  </si>
  <si>
    <t>ТЕРр63-9-1</t>
  </si>
  <si>
    <t>Ремонт облицовки из керамических глазурованных плиток: рядовых на стенах со сменой плиток в одном месте до 10 штук</t>
  </si>
  <si>
    <t>ТЕРр63-9-2</t>
  </si>
  <si>
    <t>Ремонт облицовки из керамических глазурованных плиток: рядовых на стенах со сменой плиток в одном месте более 10 штук</t>
  </si>
  <si>
    <t>ТЕРр63-9-3</t>
  </si>
  <si>
    <t>Ремонт облицовки из керамических глазурованных плиток: рядовых на столбах и откосах со сменой плиток в одном месте до 10 штук</t>
  </si>
  <si>
    <t>ТЕРр63-9-4</t>
  </si>
  <si>
    <t>Ремонт облицовки из керамических глазурованных плиток: рядовых на столбах и откосах со сменой плиток в одном месте более 10 штук</t>
  </si>
  <si>
    <t>ТЕРр63-9-5</t>
  </si>
  <si>
    <t>Ремонт облицовки из керамических глазурованных плиток: карнизных</t>
  </si>
  <si>
    <t>ТЕРр63-9-6</t>
  </si>
  <si>
    <t>Ремонт облицовки из керамических глазурованных плиток: плинтусных</t>
  </si>
  <si>
    <t>Раздел 10. Разборка облицовки из гипсокартонных листов</t>
  </si>
  <si>
    <t>ТЕРр63-10-1</t>
  </si>
  <si>
    <t>Разборка облицовки из гипсокартонных листов: стен и перегородок</t>
  </si>
  <si>
    <t>ТЕРр63-10-2</t>
  </si>
  <si>
    <t>Разборка облицовки из гипсокартонных листов: потолков</t>
  </si>
  <si>
    <t>Раздел 11. Ремонт стен, облицованных гипсокартонными листами</t>
  </si>
  <si>
    <t>ТЕРр63-11-1</t>
  </si>
  <si>
    <t>Ремонт стен, облицованных гипсокартонными листами, площадью ремонтируемых мест: до 1 м2</t>
  </si>
  <si>
    <t>ТЕРр63-11-2</t>
  </si>
  <si>
    <t>Ремонт стен, облицованных гипсокартонными листами, площадью ремонтируемых мест: до 5 м2</t>
  </si>
  <si>
    <t>ТЕРр63-11-3</t>
  </si>
  <si>
    <t>Ремонт стен, облицованных гипсокартонными листами, площадью ремонтируемых мест: до 10 м2</t>
  </si>
  <si>
    <t>Раздел 12. Ремонт потолков, облицованных гипсокартонными листами</t>
  </si>
  <si>
    <t>ТЕРр63-12-1</t>
  </si>
  <si>
    <t>Ремонт потолков, облицованных гипсокартонными листами, площадью ремонтируемых мест: до 1 м2</t>
  </si>
  <si>
    <t>ТЕРр63-12-2</t>
  </si>
  <si>
    <t>Ремонт потолков, облицованных гипсокартонными листами, площадью ремонтируемых мест: до 5 м2</t>
  </si>
  <si>
    <t>ТЕРр63-12-3</t>
  </si>
  <si>
    <t>Ремонт потолков, облицованных гипсокартонными листами, площадью ремонтируемых мест: до 10 м2</t>
  </si>
  <si>
    <r>
      <t xml:space="preserve">              </t>
    </r>
    <r>
      <rPr>
        <sz val="18"/>
        <rFont val="Arial"/>
        <family val="2"/>
        <charset val="204"/>
      </rPr>
      <t xml:space="preserve"> ТЕРр64</t>
    </r>
  </si>
  <si>
    <t>Раздел 1. Базы под колонны высотой до 250 мм</t>
  </si>
  <si>
    <t>ТЕРр64-1-1</t>
  </si>
  <si>
    <t>Смена лепных баз под колонны высотой до 250 мм: цементных</t>
  </si>
  <si>
    <t>ТЕРр64-1-2</t>
  </si>
  <si>
    <t>Смена лепных баз под колонны высотой до 250 мм: гипсовых</t>
  </si>
  <si>
    <t>ТЕРр64-1-3</t>
  </si>
  <si>
    <t>Расчистка лепных баз под колонны высотой до 250 мм от покрасок: легкоудаляемых</t>
  </si>
  <si>
    <t>ТЕРр64-1-4</t>
  </si>
  <si>
    <t>Расчистка лепных баз под колонны высотой до 250 мм от покрасок: трудноудаляемых</t>
  </si>
  <si>
    <t>ТЕРр64-1-5</t>
  </si>
  <si>
    <t>Ремонт лепных баз под колонны высотой до 250 мм с догипсовкой и расчисткой от покрасок: легкоудаляемых</t>
  </si>
  <si>
    <t>ТЕРр64-1-6</t>
  </si>
  <si>
    <t>Ремонт лепных баз под колонны высотой до 250 мм с догипсовкой и расчисткой от покрасок: трудноудаляемых</t>
  </si>
  <si>
    <t>ТЕРр64-1-7</t>
  </si>
  <si>
    <t>Реставрация лепных баз под колонны высотой до 250 мм под модель</t>
  </si>
  <si>
    <t>Раздел 2. Базы под колонны высотой до 400 мм</t>
  </si>
  <si>
    <t>ТЕРр64-2-1</t>
  </si>
  <si>
    <t>Смена лепных баз под колонны высотой до 400 мм: цементных</t>
  </si>
  <si>
    <t>ТЕРр64-2-2</t>
  </si>
  <si>
    <t>Смена лепных баз под колонны высотой до 400 мм: гипсовых</t>
  </si>
  <si>
    <t>ТЕРр64-2-3</t>
  </si>
  <si>
    <t>Расчистка лепных баз под колонны высотой до 400 мм от покрасок: легкоудаляемых</t>
  </si>
  <si>
    <t>ТЕРр64-2-4</t>
  </si>
  <si>
    <t>Расчистка лепных баз под колонны высотой до 400 мм от покрасок: трудноудаляемых</t>
  </si>
  <si>
    <t>ТЕРр64-2-5</t>
  </si>
  <si>
    <t>Ремонт лепных баз под колонны высотой до 400 мм с догипсовкой и расчисткой от покрасок: легкоудаляемых</t>
  </si>
  <si>
    <t>ТЕРр64-2-6</t>
  </si>
  <si>
    <t>Ремонт лепных баз под колонны высотой до 400 мм с догипсовкой и расчисткой от покрасок: трудноудаляемых</t>
  </si>
  <si>
    <t>ТЕРр64-2-7</t>
  </si>
  <si>
    <t>Реставрация лепных баз под колонны высотой до 400 мм под модель</t>
  </si>
  <si>
    <t>Раздел 3. Базы под колонны высотой до 500 мм</t>
  </si>
  <si>
    <t>ТЕРр64-3-1</t>
  </si>
  <si>
    <t>Смена лепных баз под колонны высотой до 500 мм: цементных</t>
  </si>
  <si>
    <t>ТЕРр64-3-2</t>
  </si>
  <si>
    <t>Смена лепных баз под колонны высотой до 500 мм: гипсовых</t>
  </si>
  <si>
    <t>ТЕРр64-3-3</t>
  </si>
  <si>
    <t>Расчистка лепных баз под колонны высотой до 500 мм от покрасок: легкоудаляемых</t>
  </si>
  <si>
    <t>ТЕРр64-3-4</t>
  </si>
  <si>
    <t>Расчистка лепных баз под колонны высотой до 500 мм от покрасок: трудноудаляемых</t>
  </si>
  <si>
    <t>ТЕРр64-3-5</t>
  </si>
  <si>
    <t>Ремонт лепных баз под колонны высотой до 500 мм с догипсовкой и расчисткой от покрасок: легкоудаляемых</t>
  </si>
  <si>
    <t>ТЕРр64-3-6</t>
  </si>
  <si>
    <t>Ремонт лепных баз под колонны высотой до 500 мм с догипсовкой и расчисткой от покрасок: трудноудаляемых</t>
  </si>
  <si>
    <t>ТЕРр64-3-7</t>
  </si>
  <si>
    <t>Реставрация лепных баз под колонны высотой до 500 мм под модель</t>
  </si>
  <si>
    <t>Раздел 4. Базы по пилястрам высотой до 250 мм</t>
  </si>
  <si>
    <t>ТЕРр64-4-1</t>
  </si>
  <si>
    <t>Смена лепных баз по пилястрам высотой до 250 мм: цементных</t>
  </si>
  <si>
    <t>ТЕРр64-4-2</t>
  </si>
  <si>
    <t>Смена лепных баз по пилястрам высотой до 250 мм: гипсовых</t>
  </si>
  <si>
    <t>ТЕРр64-4-3</t>
  </si>
  <si>
    <t>Расчистка лепных баз по пилястрам высотой до 250 мм от покрасок: легкоудаляемых</t>
  </si>
  <si>
    <t>ТЕРр64-4-4</t>
  </si>
  <si>
    <t>Расчистка лепных баз по пилястрам высотой до 250 мм от покрасок: трудноудаляемых</t>
  </si>
  <si>
    <t>ТЕРр64-4-5</t>
  </si>
  <si>
    <t>Ремонт лепных баз по пилястрам высотой до 250 мм с догипсовкой и расчисткой от покрасок: легкоудаляемых</t>
  </si>
  <si>
    <t>ТЕРр64-4-6</t>
  </si>
  <si>
    <t>Ремонт лепных баз по пилястрам высотой до 250 мм с догипсовкой и расчисткой от покрасок: трудноудаляемых</t>
  </si>
  <si>
    <t>ТЕРр64-4-7</t>
  </si>
  <si>
    <t>Реставрация лепных баз по пилястрам высотой до 250 мм под модель</t>
  </si>
  <si>
    <t>Раздел 5. Базы по пилястрам высотой до 400 мм</t>
  </si>
  <si>
    <t>ТЕРр64-5-1</t>
  </si>
  <si>
    <t>Смена лепных баз по пилястрам высотой до 400 мм: цементных</t>
  </si>
  <si>
    <t>ТЕРр64-5-2</t>
  </si>
  <si>
    <t>Смена лепных баз по пилястрам высотой до 400 мм: гипсовых</t>
  </si>
  <si>
    <t>ТЕРр64-5-3</t>
  </si>
  <si>
    <t>Расчистка лепных баз по пилястрам высотой до 400 мм от покрасок: легкоудаляемых</t>
  </si>
  <si>
    <t>ТЕРр64-5-4</t>
  </si>
  <si>
    <t>Расчистка лепных баз по пилястрам высотой до 400 мм от покрасок: трудноудаляемых</t>
  </si>
  <si>
    <t>ТЕРр64-5-5</t>
  </si>
  <si>
    <t>Ремонт лепных баз по пилястрам высотой до 400 мм с догипсовкой и расчисткой от покрасок: легкоудаляемых</t>
  </si>
  <si>
    <t>ТЕРр64-5-6</t>
  </si>
  <si>
    <t>Ремонт лепных баз по пилястрам высотой до 400 мм с догипсовкой и расчисткой от покрасок: трудноудаляемых</t>
  </si>
  <si>
    <t>ТЕРр64-5-7</t>
  </si>
  <si>
    <t>Реставрация лепных баз по пилястрам высотой до 400 мм под модель</t>
  </si>
  <si>
    <t>Раздел 6. Базы по пилястрам высотой до 500 мм</t>
  </si>
  <si>
    <t>ТЕРр64-6-1</t>
  </si>
  <si>
    <t>Смена лепных баз по пилястрам высотой до 500 мм: цементных</t>
  </si>
  <si>
    <t>ТЕРр64-6-2</t>
  </si>
  <si>
    <t>Смена лепных баз по пилястрам высотой до 500 мм: гипсовых</t>
  </si>
  <si>
    <t>ТЕРр64-6-3</t>
  </si>
  <si>
    <t>Расчистка лепных баз по пилястрам высотой до 500 мм от покрасок: легкоудаляемых</t>
  </si>
  <si>
    <t>ТЕРр64-6-4</t>
  </si>
  <si>
    <t>Расчистка лепных баз по пилястрам высотой до 500 мм от покрасок: трудноудаляемых</t>
  </si>
  <si>
    <t>ТЕРр64-6-5</t>
  </si>
  <si>
    <t>Ремонт лепных баз по пилястрам высотой до 500 мм с догипсовкой и расчисткой от покрасок: легкоудаляемых</t>
  </si>
  <si>
    <t>ТЕРр64-6-6</t>
  </si>
  <si>
    <t>Ремонт лепных баз по пилястрам высотой до 500 мм с догипсовкой и расчисткой от покрасок: трудноудаляемых</t>
  </si>
  <si>
    <t>ТЕРр64-6-7</t>
  </si>
  <si>
    <t>Реставрация лепных баз по пилястрам высотой до 500 мм под модель</t>
  </si>
  <si>
    <t>Раздел 7. Балясины цилиндрические бутылочные и квадратные высотой до 750 мм</t>
  </si>
  <si>
    <t>ТЕРр64-7-1</t>
  </si>
  <si>
    <t>Смена лепных балясин цилиндрических бутылочных и квадратных высотой до 750 мм: цементных</t>
  </si>
  <si>
    <t>ТЕРр64-7-2</t>
  </si>
  <si>
    <t>Смена лепных балясин цилиндрических бутылочных и квадратных высотой до 750 мм: гипсовых</t>
  </si>
  <si>
    <t>ТЕРр64-7-3</t>
  </si>
  <si>
    <t>Расчистка лепных балясин цилиндрических бутылочных и квадратных высотой до 750 мм от покрасок: легкоудаляемых</t>
  </si>
  <si>
    <t>ТЕРр64-7-4</t>
  </si>
  <si>
    <t>Расчистка лепных балясин цилиндрических бутылочных и квадратных высотой до 750 мм от покрасок: трудноудаляемых</t>
  </si>
  <si>
    <t>ТЕРр64-7-5</t>
  </si>
  <si>
    <t>Ремонт лепных балясин цилиндрических бутылочных и квадратных высотой до 750 мм с догипсовкой и расчисткой от покрасок: легкоудаляемых</t>
  </si>
  <si>
    <t>ТЕРр64-7-6</t>
  </si>
  <si>
    <t>Ремонт лепных балясин цилиндрических бутылочных и квадратных высотой до 750 мм с догипсовкой и расчисткой от покрасок: трудноудаляемых</t>
  </si>
  <si>
    <t>ТЕРр64-7-7</t>
  </si>
  <si>
    <t>Реставрация лепных балясин цилиндрических бутылочных и квадратных высотой до 750 мм под модель</t>
  </si>
  <si>
    <t>Раздел 8. Балясины цилиндрические бутылочные и квадратные высотой до 1000 мм</t>
  </si>
  <si>
    <t>ТЕРр64-8-1</t>
  </si>
  <si>
    <t>Смена лепных балясин цилиндрических бутылочных и квадратных высотой до 1000 мм: цементных</t>
  </si>
  <si>
    <t>ТЕРр64-8-2</t>
  </si>
  <si>
    <t>Смена лепных балясин цилиндрических бутылочных и квадратных высотой до 1000 мм: гипсовых</t>
  </si>
  <si>
    <t>ТЕРр64-8-3</t>
  </si>
  <si>
    <t>Расчистка лепных балясин цилиндрических бутылочных и квадратных высотой до 1000 мм от покрасок: легкоудаляемых</t>
  </si>
  <si>
    <t>ТЕРр64-8-4</t>
  </si>
  <si>
    <t>Расчистка лепных балясин цилиндрических бутылочных и квадратных высотой до 1000 мм от покрасок: трудноудаляемых</t>
  </si>
  <si>
    <t>ТЕРр64-8-5</t>
  </si>
  <si>
    <t>Ремонт лепных балясин цилиндрических бутылочных и квадратных высотой до 1000 мм с догипсовкой и расчисткой от покрасок: легкоудаляемых</t>
  </si>
  <si>
    <t>ТЕРр64-8-6</t>
  </si>
  <si>
    <t>Ремонт лепных балясин цилиндрических бутылочных и квадратных высотой до 1000 мм с догипсовкой и расчисткой от покрасок: трудноудаляемых</t>
  </si>
  <si>
    <t>ТЕРр64-8-7</t>
  </si>
  <si>
    <t>Реставрация лепных балясин цилиндрических бутылочных и квадратных высотой до 1000 мм под модель</t>
  </si>
  <si>
    <t>Раздел 9. Полубалясины цилиндрические бутылочные и квадратные высотой до 750 мм</t>
  </si>
  <si>
    <t>ТЕРр64-9-1</t>
  </si>
  <si>
    <t>Смена лепных полубалясин цилиндрических бутылочных и квадратных высотой до 750 мм: цементных</t>
  </si>
  <si>
    <t>ТЕРр64-9-2</t>
  </si>
  <si>
    <t>Смена лепных полубалясин цилиндрических бутылочных и квадратных высотой до 750 мм: гипсовых</t>
  </si>
  <si>
    <t>ТЕРр64-9-3</t>
  </si>
  <si>
    <t>Расчистка лепных полубалясин цилиндрических бутылочных и квадратных высотой до 750 мм от покрасок: легкоудаляемых</t>
  </si>
  <si>
    <t>ТЕРр64-9-4</t>
  </si>
  <si>
    <t>Расчистка лепных полубалясин цилиндрических бутылочных и квадратных высотой до 750 мм от покрасок: трудноудаляемых</t>
  </si>
  <si>
    <t>ТЕРр64-9-5</t>
  </si>
  <si>
    <t>Ремонт лепных полубалясин цилиндрических бутылочных и квадратных высотой до 750 мм с догипсовкой и расчисткой от покрасок: легкоудаляемых</t>
  </si>
  <si>
    <t>ТЕРр64-9-6</t>
  </si>
  <si>
    <t>Ремонт лепных полубалясин цилиндрических бутылочных и квадратных высотой до 750 мм с догипсовкой и расчисткой от покрасок: трудноудаляемых</t>
  </si>
  <si>
    <t>ТЕРр64-9-7</t>
  </si>
  <si>
    <t>Реставрация лепных полубалясин цилиндрических бутылочных и квадратных высотой до 750 мм под модель</t>
  </si>
  <si>
    <t>Раздел 10. Полубалясины цилиндрические бутылочные и квадратные высотой до 1000 мм</t>
  </si>
  <si>
    <t>ТЕРр64-10-1</t>
  </si>
  <si>
    <t>Смена лепных полубалясин цилиндрических бутылочных и квадратных высотой до 1000 мм: цементных</t>
  </si>
  <si>
    <t>ТЕРр64-10-2</t>
  </si>
  <si>
    <t>Смена лепных полубалясин цилиндрических бутылочных и квадратных высотой до 1000 мм: гипсовых</t>
  </si>
  <si>
    <t>ТЕРр64-10-3</t>
  </si>
  <si>
    <t>Расчистка лепных полубалясин цилиндрических бутылочных и квадратных высотой до 1000 мм от покрасок: легкоудаляемых</t>
  </si>
  <si>
    <t>ТЕРр64-10-4</t>
  </si>
  <si>
    <t>Расчистка лепных полубалясин цилиндрических бутылочных и квадратных высотой до 1000 мм от покрасок: трудноудаляемых</t>
  </si>
  <si>
    <t>ТЕРр64-10-5</t>
  </si>
  <si>
    <t>Ремонт лепных полубалясин цилиндрических бутылочных и квадратных высотой до 1000 мм с догипсовкой и расчисткой от покрасок: легкоудаляемых</t>
  </si>
  <si>
    <t>ТЕРр64-10-6</t>
  </si>
  <si>
    <t>Ремонт лепных полубалясин цилиндрических бутылочных и квадратных высотой до 1000 мм с догипсовкой и расчисткой от покрасок: трудноудаляемых</t>
  </si>
  <si>
    <t>ТЕРр64-10-7</t>
  </si>
  <si>
    <t>Реставрация лепных полубалясин цилиндрических бутылочных и квадратных высотой до 1000 мм под модель</t>
  </si>
  <si>
    <t>Раздел 11. Вазы высотой до 500 мм</t>
  </si>
  <si>
    <t>ТЕРр64-11-1</t>
  </si>
  <si>
    <t>Смена лепных ваз высотой до 500 мм: цементных</t>
  </si>
  <si>
    <t>ТЕРр64-11-2</t>
  </si>
  <si>
    <t>Смена лепных ваз высотой до 500 мм: гипсовых</t>
  </si>
  <si>
    <t>ТЕРр64-11-3</t>
  </si>
  <si>
    <t>Расчистка лепных ваз высотой до 500 мм от покрасок: легкоудаляемых</t>
  </si>
  <si>
    <t>ТЕРр64-11-4</t>
  </si>
  <si>
    <t>Расчистка лепных ваз высотой до 500 мм от покрасок: трудноудаляемых</t>
  </si>
  <si>
    <t>ТЕРр64-11-5</t>
  </si>
  <si>
    <t>Ремонт лепных ваз высотой до 500 мм с догипсовкой и расчисткой от покрасок: легкоудаляемых</t>
  </si>
  <si>
    <t>ТЕРр64-11-6</t>
  </si>
  <si>
    <t>Ремонт лепных ваз высотой до 500 мм с догипсовкой и расчисткой от покрасок: трудноудаляемых</t>
  </si>
  <si>
    <t>ТЕРр64-11-7</t>
  </si>
  <si>
    <t>Реставрация лепных ваз высотой до 500 мм под модель</t>
  </si>
  <si>
    <t>Раздел 12. Вазы высотой до 750 мм</t>
  </si>
  <si>
    <t>ТЕРр64-12-1</t>
  </si>
  <si>
    <t>Смена лепных ваз высотой до 750 мм: цементных</t>
  </si>
  <si>
    <t>ТЕРр64-12-2</t>
  </si>
  <si>
    <t>Смена лепных ваз высотой до 750 мм: гипсовых</t>
  </si>
  <si>
    <t>ТЕРр64-12-3</t>
  </si>
  <si>
    <t>Расчистка лепных ваз высотой до 750 мм от покрасок: легкоудаляемых</t>
  </si>
  <si>
    <t>ТЕРр64-12-4</t>
  </si>
  <si>
    <t>Расчистка лепных ваз высотой до 750 мм от покрасок: трудноудаляемых</t>
  </si>
  <si>
    <t>ТЕРр64-12-5</t>
  </si>
  <si>
    <t>Ремонт лепных ваз высотой до 750 мм с догипсовкой и расчисткой от покрасок: легкоудаляемых</t>
  </si>
  <si>
    <t>ТЕРр64-12-6</t>
  </si>
  <si>
    <t>Ремонт лепных ваз высотой до 750 мм с догипсовкой и расчисткой от покрасок: трудноудаляемых</t>
  </si>
  <si>
    <t>ТЕРр64-12-7</t>
  </si>
  <si>
    <t>Реставрация лепных ваз высотой до 750 мм под модель</t>
  </si>
  <si>
    <t>Раздел 13. Вазы высотой до 1000 мм</t>
  </si>
  <si>
    <t>ТЕРр64-13-1</t>
  </si>
  <si>
    <t>Смена лепных ваз высотой до 1000 мм: цементных</t>
  </si>
  <si>
    <t>ТЕРр64-13-2</t>
  </si>
  <si>
    <t>Смена лепных ваз высотой до 1000 мм: гипсовых</t>
  </si>
  <si>
    <t>ТЕРр64-13-3</t>
  </si>
  <si>
    <t>Расчистка лепных ваз высотой до 1000 мм от покрасок: легкоудаляемых</t>
  </si>
  <si>
    <t>ТЕРр64-13-4</t>
  </si>
  <si>
    <t>Расчистка лепных ваз высотой до 1000 мм от покрасок: трудноудаляемых</t>
  </si>
  <si>
    <t>ТЕРр64-13-5</t>
  </si>
  <si>
    <t>Ремонт лепных ваз высотой до 1000 мм с догипсовкой и расчисткой от покрасок: легкоудаляемых</t>
  </si>
  <si>
    <t>ТЕРр64-13-6</t>
  </si>
  <si>
    <t>Ремонт лепных ваз высотой до 1000 мм с догипсовкой и расчисткой от покрасок: трудноудаляемых</t>
  </si>
  <si>
    <t>ТЕРр64-13-7</t>
  </si>
  <si>
    <t>Реставрация лепных ваз высотой до 1000 мм под модель</t>
  </si>
  <si>
    <t>Раздел 14. Венки диаметром до 500 мм</t>
  </si>
  <si>
    <t>ТЕРр64-14-1</t>
  </si>
  <si>
    <t>Смена лепных венков диаметром до 500 мм: цементных</t>
  </si>
  <si>
    <t>ТЕРр64-14-2</t>
  </si>
  <si>
    <t>Смена лепных венков диаметром до 500 мм: гипсовых</t>
  </si>
  <si>
    <t>ТЕРр64-14-3</t>
  </si>
  <si>
    <t>Расчистка лепных венков диаметром до 500 мм от покрасок: легкоудаляемых</t>
  </si>
  <si>
    <t>ТЕРр64-14-4</t>
  </si>
  <si>
    <t>Расчистка лепных венков диаметром до 500 мм от покрасок: трудноудаляемых</t>
  </si>
  <si>
    <t>ТЕРр64-14-5</t>
  </si>
  <si>
    <t>Ремонт лепных венков диаметром до 500 мм с догипсовкой и расчисткой от покрасок: легкоудаляемых</t>
  </si>
  <si>
    <t>ТЕРр64-14-6</t>
  </si>
  <si>
    <t>Ремонт лепных венков диаметром до 500 мм с догипсовкой и расчисткой от покрасок: трудноудаляемых</t>
  </si>
  <si>
    <t>ТЕРр64-14-7</t>
  </si>
  <si>
    <t>Реставрация лепных венков диаметром до 500 мм под модель</t>
  </si>
  <si>
    <t>Раздел 15. Венки диаметром до 1000 мм</t>
  </si>
  <si>
    <t>ТЕРр64-15-1</t>
  </si>
  <si>
    <t>Смена лепных венков диаметром до 1000 мм: цементных</t>
  </si>
  <si>
    <t>ТЕРр64-15-2</t>
  </si>
  <si>
    <t>Смена лепных венков диаметром до 1000 мм: гипсовых</t>
  </si>
  <si>
    <t>ТЕРр64-15-3</t>
  </si>
  <si>
    <t>Расчистка лепных венков диаметром до 1000 мм от покрасок: легкоудаляемых</t>
  </si>
  <si>
    <t>ТЕРр64-15-4</t>
  </si>
  <si>
    <t>Расчистка лепных венков диаметром до 1000 мм от покрасок: трудноудаляемых</t>
  </si>
  <si>
    <t>ТЕРр64-15-5</t>
  </si>
  <si>
    <t>Ремонт лепных венков диаметром до 1000 мм с догипсовкой и расчисткой от покрасок: легкоудаляемых</t>
  </si>
  <si>
    <t>ТЕРр64-15-6</t>
  </si>
  <si>
    <t>Ремонт лепных венков диаметром до 1000 мм с догипсовкой и расчисткой от покрасок: трудноудаляемых</t>
  </si>
  <si>
    <t>ТЕРр64-15-7</t>
  </si>
  <si>
    <t>Реставрация лепных венков диаметром до 1000 мм под модель</t>
  </si>
  <si>
    <t>Раздел 16. Гербы высотой до 500 мм</t>
  </si>
  <si>
    <t>ТЕРр64-16-1</t>
  </si>
  <si>
    <t>Смена лепных гербов высотой до 500 мм: цементных</t>
  </si>
  <si>
    <t>ТЕРр64-16-2</t>
  </si>
  <si>
    <t>Смена лепных гербов высотой до 500 мм: гипсовых</t>
  </si>
  <si>
    <t>ТЕРр64-16-3</t>
  </si>
  <si>
    <t>Расчистка лепных гербов высотой до 500 мм от покрасок: легкоудаляемых</t>
  </si>
  <si>
    <t>ТЕРр64-16-4</t>
  </si>
  <si>
    <t>Расчистка лепных гербов высотой до 500 мм от покрасок: трудноудаляемых</t>
  </si>
  <si>
    <t>ТЕРр64-16-5</t>
  </si>
  <si>
    <t>Ремонт лепных гербов высотой до 500 мм с догипсовкой и расчисткой от покрасок: легкоудаляемых</t>
  </si>
  <si>
    <t>ТЕРр64-16-6</t>
  </si>
  <si>
    <t>Ремонт лепных гербов высотой до 500 мм с догипсовкой и расчисткой от покрасок: трудноудаляемых</t>
  </si>
  <si>
    <t>ТЕРр64-16-7</t>
  </si>
  <si>
    <t>Реставрация лепных гербов высотой до 500 мм под модель</t>
  </si>
  <si>
    <t>Раздел 17. Гербы высотой до 1000 мм</t>
  </si>
  <si>
    <t>ТЕРр64-17-1</t>
  </si>
  <si>
    <t>Смена лепных гербов высотой до 1000 мм: цементных</t>
  </si>
  <si>
    <t>ТЕРр64-17-2</t>
  </si>
  <si>
    <t>Смена лепных гербов высотой до 1000 мм: гипсовых</t>
  </si>
  <si>
    <t>ТЕРр64-17-3</t>
  </si>
  <si>
    <t>Расчистка лепных гербов высотой до 1000 мм от покрасок: легкоудаляемых</t>
  </si>
  <si>
    <t>ТЕРр64-17-4</t>
  </si>
  <si>
    <t>Расчистка лепных гербов высотой до 1000 мм от покрасок: трудноудаляемых</t>
  </si>
  <si>
    <t>ТЕРр64-17-5</t>
  </si>
  <si>
    <t>Ремонт лепных гербов высотой до 1000 мм с догипсовкой и расчисткой от покрасок: легкоудаляемых</t>
  </si>
  <si>
    <t>ТЕРр64-17-6</t>
  </si>
  <si>
    <t>Ремонт лепных гербов высотой до 1000 мм с догипсовкой и расчисткой от покрасок: трудноудаляемых</t>
  </si>
  <si>
    <t>ТЕРр64-17-7</t>
  </si>
  <si>
    <t>Реставрация лепных гербов высотой до 1000 мм под модель</t>
  </si>
  <si>
    <t>Раздел 18. Гирлянды длиной по огибу до 750 мм</t>
  </si>
  <si>
    <t>ТЕРр64-18-1</t>
  </si>
  <si>
    <t>Смена лепных гирлянд длиной по огибу до 750 мм: цементных</t>
  </si>
  <si>
    <t>ТЕРр64-18-2</t>
  </si>
  <si>
    <t>Смена лепных гирлянд длиной по огибу до 750 мм: гипсовых</t>
  </si>
  <si>
    <t>ТЕРр64-18-3</t>
  </si>
  <si>
    <t>Расчистка лепных гирлянд длиной по огибу до 750 мм от покрасок: легкоудаляемых</t>
  </si>
  <si>
    <t>ТЕРр64-18-4</t>
  </si>
  <si>
    <t>Расчистка лепных гирлянд длиной по огибу до 750 мм от покрасок: трудноудаляемых</t>
  </si>
  <si>
    <t>ТЕРр64-18-5</t>
  </si>
  <si>
    <t>Ремонт лепных гирлянд длиной по огибу до 750 мм с догипсовкой и расчисткой от покрасок: легкоудаляемых</t>
  </si>
  <si>
    <t>ТЕРр64-18-6</t>
  </si>
  <si>
    <t>Ремонт лепных гирлянд длиной по огибу до 750 мм с догипсовкой и расчисткой от покрасок: трудноудаляемых</t>
  </si>
  <si>
    <t>ТЕРр64-18-7</t>
  </si>
  <si>
    <t>Реставрация лепных гирлянд длиной по огибу до 750 мм под модель</t>
  </si>
  <si>
    <t>Раздел 19. Гирлянды длиной по огибу до 1000 мм</t>
  </si>
  <si>
    <t>ТЕРр64-19-1</t>
  </si>
  <si>
    <t>Смена лепных гирлянд длиной по огибу до 1000 мм: цементных</t>
  </si>
  <si>
    <t>ТЕРр64-19-2</t>
  </si>
  <si>
    <t>Смена лепных гирлянд длиной по огибу до 1000 мм: гипсовых</t>
  </si>
  <si>
    <t>ТЕРр64-19-3</t>
  </si>
  <si>
    <t>Расчистка лепных гирлянд длиной по огибу до 1000 мм от покрасок: легкоудаляемых</t>
  </si>
  <si>
    <t>ТЕРр64-19-4</t>
  </si>
  <si>
    <t>Расчистка лепных гирлянд длиной по огибу до 1000 мм от покрасок: трудноудаляемых</t>
  </si>
  <si>
    <t>ТЕРр64-19-5</t>
  </si>
  <si>
    <t>Ремонт лепных гирлянд длиной по огибу до 1000 мм с догипсовкой и расчисткой от покрасок: легкоудаляемых</t>
  </si>
  <si>
    <t>ТЕРр64-19-6</t>
  </si>
  <si>
    <t>Ремонт лепных гирлянд длиной по огибу до 1000 мм с догипсовкой и расчисткой от покрасок: трудноудаляемых</t>
  </si>
  <si>
    <t>ТЕРр64-19-7</t>
  </si>
  <si>
    <t>Реставрация лепных гирлянд длиной по огибу до 1000 мм под модель</t>
  </si>
  <si>
    <t>Раздел 20. Капители дорические и тосканские высотой до 250 мм</t>
  </si>
  <si>
    <t>ТЕРр64-20-1</t>
  </si>
  <si>
    <t>Смена лепных капителей дорических и тосканских высотой до 250 мм: цементных</t>
  </si>
  <si>
    <t>ТЕРр64-20-2</t>
  </si>
  <si>
    <t>Смена лепных капителей дорических и тосканских высотой до 250 мм: гипсовых</t>
  </si>
  <si>
    <t>ТЕРр64-20-3</t>
  </si>
  <si>
    <t>Расчистка лепных капителей дорических и тосканских высотой до 250 мм от покрасок: легкоудаляемых</t>
  </si>
  <si>
    <t>ТЕРр64-20-4</t>
  </si>
  <si>
    <t>Расчистка лепных капителей дорических и тосканских высотой до 250 мм от покрасок: трудноудаляемых</t>
  </si>
  <si>
    <t>ТЕРр64-20-5</t>
  </si>
  <si>
    <t>Ремонт лепных капителей дорических и тосканских высотой до 250 мм с догипсовкой и расчисткой от покрасок: легкоудаляемых</t>
  </si>
  <si>
    <t>ТЕРр64-20-6</t>
  </si>
  <si>
    <t>Ремонт лепных капителей дорических и тосканских высотой до 250 мм с догипсовкой и расчисткой от покрасок: трудноудаляемых</t>
  </si>
  <si>
    <t>ТЕРр64-20-7</t>
  </si>
  <si>
    <t>Реставрация лепных капителей дорических и тосканских высотой до 250 мм под модель</t>
  </si>
  <si>
    <t>Раздел 21. Капители дорические и тосканские высотой до 500 мм</t>
  </si>
  <si>
    <t>ТЕРр64-21-1</t>
  </si>
  <si>
    <t>Смена лепных капителей дорических и тосканских высотой до 500 мм: цементных</t>
  </si>
  <si>
    <t>ТЕРр64-21-2</t>
  </si>
  <si>
    <t>Смена лепных капителей дорических и тосканских высотой до 500 мм: гипсовых</t>
  </si>
  <si>
    <t>ТЕРр64-21-3</t>
  </si>
  <si>
    <t>Расчистка лепных капителей дорических и тосканских высотой до 500 мм от покрасок: легкоудаляемых</t>
  </si>
  <si>
    <t>ТЕРр64-21-4</t>
  </si>
  <si>
    <t>Расчистка лепных капителей дорических и тосканских высотой до 500 мм от покрасок: трудноудаляемых</t>
  </si>
  <si>
    <t>ТЕРр64-21-5</t>
  </si>
  <si>
    <t>Ремонт лепных капителей дорических и тосканских высотой до 500 мм с догипсовкой и расчисткой от покрасок: легкоудаляемых</t>
  </si>
  <si>
    <t>ТЕРр64-21-6</t>
  </si>
  <si>
    <t>Ремонт лепных капителей дорических и тосканских высотой до 500 мм с догипсовкой и расчисткой от покрасок: трудноудаляемых</t>
  </si>
  <si>
    <t>ТЕРр64-21-7</t>
  </si>
  <si>
    <t>Реставрация лепных капителей дорических и тосканских высотой до 500 мм под модель</t>
  </si>
  <si>
    <t>Раздел 22. Капители ионические высотой до 250 мм</t>
  </si>
  <si>
    <t>ТЕРр64-22-1</t>
  </si>
  <si>
    <t>Смена лепных капителей ионических высотой до 250 мм: цементных</t>
  </si>
  <si>
    <t>ТЕРр64-22-2</t>
  </si>
  <si>
    <t>Смена лепных капителей ионических высотой до 250 мм: гипсовых</t>
  </si>
  <si>
    <t>ТЕРр64-22-3</t>
  </si>
  <si>
    <t>Расчистка лепных капителей ионических высотой до 250 мм от покрасок: легкоудаляемых</t>
  </si>
  <si>
    <t>ТЕРр64-22-4</t>
  </si>
  <si>
    <t>Расчистка лепных капителей ионических высотой до 250 мм от покрасок: трудноудаляемых</t>
  </si>
  <si>
    <t>ТЕРр64-22-5</t>
  </si>
  <si>
    <t>Ремонт лепных капителей ионических высотой до 250 мм с догипсовкой и расчисткой от покрасок: легкоудаляемых</t>
  </si>
  <si>
    <t>ТЕРр64-22-6</t>
  </si>
  <si>
    <t>Ремонт лепных капителей ионических высотой до 250 мм с догипсовкой и расчисткой от покрасок: трудноудаляемых</t>
  </si>
  <si>
    <t>ТЕРр64-22-7</t>
  </si>
  <si>
    <t>Реставрация лепных капителей ионических высотой до 250 мм под модель</t>
  </si>
  <si>
    <t>Раздел 23. Капители ионические высотой до 500 мм</t>
  </si>
  <si>
    <t>ТЕРр64-23-1</t>
  </si>
  <si>
    <t>Смена лепных капителей ионических высотой до 500 мм: цементных</t>
  </si>
  <si>
    <t>ТЕРр64-23-2</t>
  </si>
  <si>
    <t>Смена лепных капителей ионических высотой до 500 мм: гипсовых</t>
  </si>
  <si>
    <t>ТЕРр64-23-3</t>
  </si>
  <si>
    <t>Расчистка лепных капителей ионических высотой до 500 мм от покрасок: легкоудаляемых</t>
  </si>
  <si>
    <t>ТЕРр64-23-4</t>
  </si>
  <si>
    <t>Расчистка лепных капителей ионических высотой до 500 мм от покрасок: трудноудаляемых</t>
  </si>
  <si>
    <t>ТЕРр64-23-5</t>
  </si>
  <si>
    <t>Ремонт лепных капителей ионических высотой до 500 мм с догипсовкой и расчисткой от покрасок: легкоудаляемых</t>
  </si>
  <si>
    <t>ТЕРр64-23-6</t>
  </si>
  <si>
    <t>Ремонт лепных капителей ионических высотой до 500 мм с догипсовкой и расчисткой от покрасок: трудноудаляемых</t>
  </si>
  <si>
    <t>ТЕРр64-23-7</t>
  </si>
  <si>
    <t>Реставрация лепных капителей ионических высотой до 500 мм под модель</t>
  </si>
  <si>
    <t>Раздел 24. Капители коринфские высотой до 500 мм</t>
  </si>
  <si>
    <t>ТЕРр64-24-1</t>
  </si>
  <si>
    <t>Смена лепных капителей коринфских высотой до 500 мм: цементных</t>
  </si>
  <si>
    <t>ТЕРр64-24-2</t>
  </si>
  <si>
    <t>Смена лепных капителей коринфских высотой до 500 мм: гипсовых</t>
  </si>
  <si>
    <t>ТЕРр64-24-3</t>
  </si>
  <si>
    <t>Расчистка лепных капителей коринфских высотой до 500 мм от покрасок: легкоудаляемых</t>
  </si>
  <si>
    <t>ТЕРр64-24-4</t>
  </si>
  <si>
    <t>Расчистка лепных капителей коринфских высотой до 500 мм от покрасок: трудноудаляемых</t>
  </si>
  <si>
    <t>ТЕРр64-24-5</t>
  </si>
  <si>
    <t>Ремонт лепных капителей коринфских высотой до 500 мм с догипсовкой и расчисткой от покрасок: легкоудаляемых</t>
  </si>
  <si>
    <t>ТЕРр64-24-6</t>
  </si>
  <si>
    <t>Ремонт лепных капителей коринфских высотой до 500 мм с догипсовкой и расчисткой от покрасок: трудноудаляемых</t>
  </si>
  <si>
    <t>ТЕРр64-24-7</t>
  </si>
  <si>
    <t>Реставрация лепных капителей коринфских высотой до 500 мм под модель</t>
  </si>
  <si>
    <t>Раздел 25. Капители коринфские высотой до 750 мм</t>
  </si>
  <si>
    <t>ТЕРр64-25-1</t>
  </si>
  <si>
    <t>Смена лепных капителей коринфских высотой до 750 мм: цементных</t>
  </si>
  <si>
    <t>ТЕРр64-25-2</t>
  </si>
  <si>
    <t>Смена лепных капителей коринфских высотой до 750 мм: гипсовых</t>
  </si>
  <si>
    <t>ТЕРр64-25-3</t>
  </si>
  <si>
    <t>Расчистка лепных капителей коринфских высотой до 750 мм от покрасок: легкоудаляемых</t>
  </si>
  <si>
    <t>ТЕРр64-25-4</t>
  </si>
  <si>
    <t>Расчистка лепных капителей коринфских высотой до 750 мм от покрасок: трудноудаляемых</t>
  </si>
  <si>
    <t>ТЕРр64-25-5</t>
  </si>
  <si>
    <t>Ремонт лепных капителей коринфских высотой до 750 мм с догипсовкой и расчисткой от покрасок: легкоудаляемых</t>
  </si>
  <si>
    <t>ТЕРр64-25-6</t>
  </si>
  <si>
    <t>Ремонт лепных капителей коринфских высотой до 750 мм с догипсовкой и расчисткой от покрасок: трудноудаляемых</t>
  </si>
  <si>
    <t>ТЕРр64-25-7</t>
  </si>
  <si>
    <t>Реставрация лепных капителей коринфских высотой до 750 мм под модель</t>
  </si>
  <si>
    <t>Раздел 26. Капители коринфские высотой до 1000 мм</t>
  </si>
  <si>
    <t>ТЕРр64-26-1</t>
  </si>
  <si>
    <t>Смена лепных капителей коринфских высотой до 1000 мм: цементных</t>
  </si>
  <si>
    <t>ТЕРр64-26-2</t>
  </si>
  <si>
    <t>Смена лепных капителей коринфских высотой до 1000 мм: гипсовых</t>
  </si>
  <si>
    <t>ТЕРр64-26-3</t>
  </si>
  <si>
    <t>Расчистка лепных капителей коринфских высотой до 1000 мм от покрасок: легкоудаляемых</t>
  </si>
  <si>
    <t>ТЕРр64-26-4</t>
  </si>
  <si>
    <t>Расчистка лепных капителей коринфских высотой до 1000 мм от покрасок: трудноудаляемых</t>
  </si>
  <si>
    <t>ТЕРр64-26-5</t>
  </si>
  <si>
    <t>Ремонт лепных капителей коринфских высотой до 1000 мм с догипсовкой и расчисткой от покрасок: легкоудаляемых</t>
  </si>
  <si>
    <t>ТЕРр64-26-6</t>
  </si>
  <si>
    <t>Ремонт лепных капителей коринфских высотой до 1000 мм с догипсовкой и расчисткой от покрасок: трудноудаляемых</t>
  </si>
  <si>
    <t>ТЕРр64-26-7</t>
  </si>
  <si>
    <t>Реставрация лепных капителей коринфских высотой до 1000 мм под модель</t>
  </si>
  <si>
    <t>Раздел 27. Картуши с наибольшим измерением (высота, ширина) до 500 мм</t>
  </si>
  <si>
    <t>ТЕРр64-27-1</t>
  </si>
  <si>
    <t>Смена лепных картушей с наибольшим измерением (высота, ширина) до 500 мм: цементных</t>
  </si>
  <si>
    <t>ТЕРр64-27-2</t>
  </si>
  <si>
    <t>Смена лепных картушей с наибольшим измерением (высота, ширина) до 500 мм: гипсовых</t>
  </si>
  <si>
    <t>ТЕРр64-27-3</t>
  </si>
  <si>
    <t>Расчистка лепных картушей с наибольшим измерением (высота, ширина) до 500 мм от покрасок: легкоудаляемых</t>
  </si>
  <si>
    <t>ТЕРр64-27-4</t>
  </si>
  <si>
    <t>Расчистка лепных картушей с наибольшим измерением (высота, ширина) до 500 мм от покрасок: трудноудаляемых</t>
  </si>
  <si>
    <t>ТЕРр64-27-5</t>
  </si>
  <si>
    <t>Ремонт лепных картушей с наибольшим измерением (высота, ширина) до 500 мм с догипсовкой и расчисткой от покрасок: легкоудаляемых</t>
  </si>
  <si>
    <t>ТЕРр64-27-6</t>
  </si>
  <si>
    <t>Ремонт лепных картушей с наибольшим измерением (высота, ширина) до 500 мм с догипсовкой и расчисткой от покрасок: трудноудаляемых</t>
  </si>
  <si>
    <t>ТЕРр64-27-7</t>
  </si>
  <si>
    <t>Реставрация лепных картушей с наибольшим измерением (высота, ширина) до 500 мм под модель</t>
  </si>
  <si>
    <t>Раздел 28. Картуши с наибольшим измерением (высота, ширина) до 750 мм</t>
  </si>
  <si>
    <t>ТЕРр64-28-1</t>
  </si>
  <si>
    <t>Смена лепных картушей с наибольшим измерением (высота, ширина) до 750 мм: цементных</t>
  </si>
  <si>
    <t>ТЕРр64-28-2</t>
  </si>
  <si>
    <t>Смена лепных картушей с наибольшим измерением (высота, ширина) до 750 мм: гипсовых</t>
  </si>
  <si>
    <t>ТЕРр64-28-3</t>
  </si>
  <si>
    <t>Расчистка лепных картушей с наибольшим измерением (высота, ширина) до 750 мм от покрасок: легкоудаляемых</t>
  </si>
  <si>
    <t>ТЕРр64-28-4</t>
  </si>
  <si>
    <t>Расчистка лепных картушей с наибольшим измерением (высота, ширина) до 750 мм от покрасок: трудноудаляемых</t>
  </si>
  <si>
    <t>ТЕРр64-28-5</t>
  </si>
  <si>
    <t>Ремонт лепных картушей с наибольшим измерением (высота, ширина) до 750 мм с догипсовкой и расчисткой от покрасок: легкоудаляемых</t>
  </si>
  <si>
    <t>ТЕРр64-28-6</t>
  </si>
  <si>
    <t>Ремонт лепных картушей с наибольшим измерением (высота, ширина) до 750 мм с догипсовкой и расчисткой от покрасок: трудноудаляемых</t>
  </si>
  <si>
    <t>ТЕРр64-28-7</t>
  </si>
  <si>
    <t>Реставрация лепных картушей с наибольшим измерением (высота, ширина) до 750 мм под модель</t>
  </si>
  <si>
    <t>Раздел 29. Картуши с наибольшим измерением (высота, ширина) до 1000 мм</t>
  </si>
  <si>
    <t>ТЕРр64-29-1</t>
  </si>
  <si>
    <t>Смена лепных картушей с наибольшим измерением (высота, ширина) до 1000 мм: цементных</t>
  </si>
  <si>
    <t>ТЕРр64-29-2</t>
  </si>
  <si>
    <t>Смена лепных картушей с наибольшим измерением (высота, ширина) до 1000 мм: гипсовых</t>
  </si>
  <si>
    <t>ТЕРр64-29-3</t>
  </si>
  <si>
    <t>Расчистка лепных картушей с наибольшим измерением (высота, ширина) до 1000 мм от покрасок: легкоудаляемых</t>
  </si>
  <si>
    <t>ТЕРр64-29-4</t>
  </si>
  <si>
    <t>Расчистка лепных картушей с наибольшим измерением (высота, ширина) до 1000 мм от покрасок: трудноудаляемых</t>
  </si>
  <si>
    <t>ТЕРр64-29-5</t>
  </si>
  <si>
    <t>Ремонт лепных картушей с наибольшим измерением (высота, ширина) до 1000 мм с догипсовкой и расчисткой от покрасок: легкоудаляемых</t>
  </si>
  <si>
    <t>ТЕРр64-29-6</t>
  </si>
  <si>
    <t>Ремонт лепных картушей с наибольшим измерением (высота, ширина) до 1000 мм с догипсовкой и расчисткой от покрасок: трудноудаляемых</t>
  </si>
  <si>
    <t>ТЕРр64-29-7</t>
  </si>
  <si>
    <t>Реставрация лепных картушей с наибольшим измерением (высота, ширина) до 1000 мм под модель</t>
  </si>
  <si>
    <t>Раздел 30. Кронштейны и модульоны с наибольшим измерением до 200 мм</t>
  </si>
  <si>
    <t>ТЕРр64-30-1</t>
  </si>
  <si>
    <t>Смена лепных кронштейнов и модульонов с наибольшим измерением до 200 мм: цементных</t>
  </si>
  <si>
    <t>ТЕРр64-30-2</t>
  </si>
  <si>
    <t>Смена лепных кронштейнов и модульонов с наибольшим измерением до 200 мм: гипсовых</t>
  </si>
  <si>
    <t>ТЕРр64-30-3</t>
  </si>
  <si>
    <t>Расчистка лепных кронштейнов и модульонов с наибольшим измерением до 200 мм от покрасок: легкоудаляемых</t>
  </si>
  <si>
    <t>ТЕРр64-30-4</t>
  </si>
  <si>
    <t>Расчистка лепных кронштейнов и модульонов с наибольшим измерением до 200 мм от покрасок: трудноудаляемых</t>
  </si>
  <si>
    <t>ТЕРр64-30-5</t>
  </si>
  <si>
    <t>Ремонт лепных кронштейнов и модульонов с наибольшим измерением до 200 мм с догипсовкой и расчисткой от покрасок: легкоудаляемых</t>
  </si>
  <si>
    <t>ТЕРр64-30-6</t>
  </si>
  <si>
    <t>Ремонт лепных кронштейнов и модульонов с наибольшим измерением до 200 мм с догипсовкой и расчисткой от покрасок: трудноудаляемых</t>
  </si>
  <si>
    <t>ТЕРр64-30-7</t>
  </si>
  <si>
    <t>Реставрация лепных кронштейнов и модульонов с наибольшим измерением до 200 мм под модель</t>
  </si>
  <si>
    <t>Раздел 31. Кронштейны и модульоны с наибольшим измерением до 300 мм</t>
  </si>
  <si>
    <t>ТЕРр64-31-1</t>
  </si>
  <si>
    <t>Смена лепных кронштейнов и модульонов с наибольшим измерением до 300 мм: цементных</t>
  </si>
  <si>
    <t>ТЕРр64-31-2</t>
  </si>
  <si>
    <t>Смена лепных кронштейнов и модульонов с наибольшим измерением до 300 мм: гипсовых</t>
  </si>
  <si>
    <t>ТЕРр64-31-3</t>
  </si>
  <si>
    <t>Расчистка лепных кронштейнов и модульонов с наибольшим измерением до 300 мм от покрасок: легкоудаляемых</t>
  </si>
  <si>
    <t>ТЕРр64-31-4</t>
  </si>
  <si>
    <t>Расчистка лепных кронштейнов и модульонов с наибольшим измерением до 300 мм от покрасок: трудноудаляемых</t>
  </si>
  <si>
    <t>ТЕРр64-31-5</t>
  </si>
  <si>
    <t>Ремонт лепных кронштейнов и модульонов с наибольшим измерением до 300 мм с догипсовкой и расчисткой от покрасок: легкоудаляемых</t>
  </si>
  <si>
    <t>ТЕРр64-31-6</t>
  </si>
  <si>
    <t>Ремонт лепных кронштейнов и модульонов с наибольшим измерением до 300 мм с догипсовкой и расчисткой от покрасок: трудноудаляемых</t>
  </si>
  <si>
    <t>ТЕРр64-31-7</t>
  </si>
  <si>
    <t>Реставрация лепных кронштейнов и модульонов с наибольшим измерением до 300 мм под модель</t>
  </si>
  <si>
    <t>Раздел 32. Кронштейны и модульоны с наибольшим измерением до 400 мм</t>
  </si>
  <si>
    <t>ТЕРр64-32-1</t>
  </si>
  <si>
    <t>Смена лепных кронштейнов и модульонов с наибольшим измерением до 400 мм: цементных</t>
  </si>
  <si>
    <t>ТЕРр64-32-2</t>
  </si>
  <si>
    <t>Смена лепных кронштейнов и модульонов с наибольшим измерением до 400 мм: гипсовых</t>
  </si>
  <si>
    <t>ТЕРр64-32-3</t>
  </si>
  <si>
    <t>Расчистка лепных кронштейнов и модульонов с наибольшим измерением до 400 мм от покрасок: легкоудаляемых</t>
  </si>
  <si>
    <t>ТЕРр64-32-4</t>
  </si>
  <si>
    <t>Расчистка лепных кронштейнов и модульонов с наибольшим измерением до 400 мм от покрасок: трудноудаляемых</t>
  </si>
  <si>
    <t>ТЕРр64-32-5</t>
  </si>
  <si>
    <t>Ремонт лепных кронштейнов и модульонов с наибольшим измерением до 400 мм с догипсовкой и расчисткой от покрасок: легкоудаляемых</t>
  </si>
  <si>
    <t>ТЕРр64-32-6</t>
  </si>
  <si>
    <t>Ремонт лепных кронштейнов и модульонов с наибольшим измерением до 400 мм с догипсовкой и расчисткой от покрасок: трудноудаляемых</t>
  </si>
  <si>
    <t>ТЕРр64-32-7</t>
  </si>
  <si>
    <t>Реставрация лепных кронштейнов и модульонов с наибольшим измерением до 400 мм под модель</t>
  </si>
  <si>
    <t>Раздел 33. Кронштейны и модульоны с наибольшим измерением до 500 мм</t>
  </si>
  <si>
    <t>ТЕРр64-33-1</t>
  </si>
  <si>
    <t>Смена лепных кронштейнов и модульонов с наибольшим измерением до 500 мм: цементных</t>
  </si>
  <si>
    <t>ТЕРр64-33-2</t>
  </si>
  <si>
    <t>Смена лепных кронштейнов и модульонов с наибольшим измерением до 500 мм: гипсовых</t>
  </si>
  <si>
    <t>ТЕРр64-33-3</t>
  </si>
  <si>
    <t>Расчистка лепных кронштейнов и модульонов с наибольшим измерением до 500 мм от покрасок: легкоудаляемых</t>
  </si>
  <si>
    <t>ТЕРр64-33-4</t>
  </si>
  <si>
    <t>Расчистка лепных кронштейнов и модульонов с наибольшим измерением до 500 мм от покрасок: трудноудаляемых</t>
  </si>
  <si>
    <t>ТЕРр64-33-5</t>
  </si>
  <si>
    <t>Ремонт лепных кронштейнов и модульонов с наибольшим измерением до 500 мм с догипсовкой и расчисткой от покрасок: легкоудаляемых</t>
  </si>
  <si>
    <t>ТЕРр64-33-6</t>
  </si>
  <si>
    <t>Ремонт лепных кронштейнов и модульонов с наибольшим измерением до 500 мм с догипсовкой и расчисткой от покрасок: трудноудаляемых</t>
  </si>
  <si>
    <t>ТЕРр64-33-7</t>
  </si>
  <si>
    <t>Реставрация лепных кронштейнов и модульонов с наибольшим измерением до 500 мм под модель</t>
  </si>
  <si>
    <t>Раздел 34. Листы высотой до 150 мм</t>
  </si>
  <si>
    <t>ТЕРр64-34-1</t>
  </si>
  <si>
    <t>Смена лепных листов высотой до 150 мм: цементных</t>
  </si>
  <si>
    <t>ТЕРр64-34-2</t>
  </si>
  <si>
    <t>Смена лепных листов высотой до 150 мм: гипсовых</t>
  </si>
  <si>
    <t>ТЕРр64-34-3</t>
  </si>
  <si>
    <t>Расчистка лепных листов высотой до 150 мм от покрасок: легкоудаляемых</t>
  </si>
  <si>
    <t>ТЕРр64-34-4</t>
  </si>
  <si>
    <t>Расчистка лепных листов высотой до 150 мм от покрасок: трудноудаляемых</t>
  </si>
  <si>
    <t>ТЕРр64-34-5</t>
  </si>
  <si>
    <t>Ремонт лепных листов высотой до 150 мм с догипсовкой и расчисткой от покрасок: легкоудаляемых</t>
  </si>
  <si>
    <t>ТЕРр64-34-6</t>
  </si>
  <si>
    <t>Ремонт лепных листов высотой до 150 мм с догипсовкой и расчисткой от покрасок: трудноудаляемых</t>
  </si>
  <si>
    <t>ТЕРр64-34-7</t>
  </si>
  <si>
    <t>Реставрация лепных листов высотой до 150 мм под модель</t>
  </si>
  <si>
    <t>Раздел 35. Листы высотой до 250 мм</t>
  </si>
  <si>
    <t>ТЕРр64-35-1</t>
  </si>
  <si>
    <t>Смена лепных листов высотой до 250 мм: цементных</t>
  </si>
  <si>
    <t>ТЕРр64-35-2</t>
  </si>
  <si>
    <t>Смена лепных листов высотой до 250 мм: гипсовых</t>
  </si>
  <si>
    <t>ТЕРр64-35-3</t>
  </si>
  <si>
    <t>Расчистка лепных листов высотой до 250 мм от покрасок: легкоудаляемых</t>
  </si>
  <si>
    <t>ТЕРр64-35-4</t>
  </si>
  <si>
    <t>Расчистка лепных листов высотой до 250 мм от покрасок: трудноудаляемых</t>
  </si>
  <si>
    <t>ТЕРр64-35-5</t>
  </si>
  <si>
    <t>Ремонт лепных листов высотой до 250 мм с догипсовкой и расчисткой от покрасок: легкоудаляемых</t>
  </si>
  <si>
    <t>ТЕРр64-35-6</t>
  </si>
  <si>
    <t>Ремонт лепных листов высотой до 250 мм с догипсовкой и расчисткой от покрасок: трудноудаляемых</t>
  </si>
  <si>
    <t>ТЕРр64-35-7</t>
  </si>
  <si>
    <t>Реставрация лепных листов высотой до 250 мм под модель</t>
  </si>
  <si>
    <t>Раздел 36. Листы высотой до 400 мм</t>
  </si>
  <si>
    <t>ТЕРр64-36-1</t>
  </si>
  <si>
    <t>Смена лепных листов высотой до 400 мм: цементных</t>
  </si>
  <si>
    <t>ТЕРр64-36-2</t>
  </si>
  <si>
    <t>Смена лепных листов высотой до 400 мм: гипсовых</t>
  </si>
  <si>
    <t>ТЕРр64-36-3</t>
  </si>
  <si>
    <t>Расчистка лепных листов высотой до 400 мм от покрасок: легкоудаляемых</t>
  </si>
  <si>
    <t>ТЕРр64-36-4</t>
  </si>
  <si>
    <t>Расчистка лепных листов высотой до 400 мм от покрасок: трудноудаляемых</t>
  </si>
  <si>
    <t>ТЕРр64-36-5</t>
  </si>
  <si>
    <t>Ремонт лепных листов высотой до 400 мм с догипсовкой и расчисткой от покрасок: легкоудаляемых</t>
  </si>
  <si>
    <t>ТЕРр64-36-6</t>
  </si>
  <si>
    <t>Ремонт лепных листов высотой до 400 мм с догипсовкой и расчисткой от покрасок: трудноудаляемых</t>
  </si>
  <si>
    <t>ТЕРр64-36-7</t>
  </si>
  <si>
    <t>Реставрация лепных листов высотой до 400 мм под модель</t>
  </si>
  <si>
    <t>Раздел 37. Маски-замки высотой до 250 мм</t>
  </si>
  <si>
    <t>ТЕРр64-37-1</t>
  </si>
  <si>
    <t>Смена лепных масок-замков высотой до 250 мм: цементных</t>
  </si>
  <si>
    <t>ТЕРр64-37-2</t>
  </si>
  <si>
    <t>Смена лепных масок-замков высотой до 250 мм: гипсовых</t>
  </si>
  <si>
    <t>ТЕРр64-37-3</t>
  </si>
  <si>
    <t>Расчистка лепных масок-замков высотой до 250 мм от покрасок: легкоудаляемых</t>
  </si>
  <si>
    <t>ТЕРр64-37-4</t>
  </si>
  <si>
    <t>Расчистка лепных масок-замков высотой до 250 мм от покрасок: трудноудаляемых</t>
  </si>
  <si>
    <t>ТЕРр64-37-5</t>
  </si>
  <si>
    <t>Ремонт лепных масок-замков высотой до 250 мм с догипсовкой и расчисткой от покрасок: легкоудаляемых</t>
  </si>
  <si>
    <t>ТЕРр64-37-6</t>
  </si>
  <si>
    <t>Ремонт лепных масок-замков высотой до 250 мм с догипсовкой и расчисткой от покрасок: трудноудаляемых</t>
  </si>
  <si>
    <t>ТЕРр64-37-7</t>
  </si>
  <si>
    <t>Реставрация лепных масок-замков высотой до 250 мм под модель</t>
  </si>
  <si>
    <t>Раздел 38. Маски-замки высотой до 500 мм</t>
  </si>
  <si>
    <t>ТЕРр64-38-1</t>
  </si>
  <si>
    <t>Смена лепных масок-замков высотой до 500 мм: цементных</t>
  </si>
  <si>
    <t>ТЕРр64-38-2</t>
  </si>
  <si>
    <t>Смена лепных масок-замков высотой до 500 мм: гипсовых</t>
  </si>
  <si>
    <t>ТЕРр64-38-3</t>
  </si>
  <si>
    <t>Расчистка лепных масок-замков высотой до 500 мм от покрасок: легкоудаляемых</t>
  </si>
  <si>
    <t>ТЕРр64-38-4</t>
  </si>
  <si>
    <t>Расчистка лепных масок-замков высотой до 500 мм от покрасок: трудноудаляемых</t>
  </si>
  <si>
    <t>ТЕРр64-38-5</t>
  </si>
  <si>
    <t>Ремонт лепных масок-замков высотой до 500 мм с догипсовкой и расчисткой от покрасок: легкоудаляемых</t>
  </si>
  <si>
    <t>ТЕРр64-38-6</t>
  </si>
  <si>
    <t>Ремонт лепных масок-замков высотой до 500 мм с догипсовкой и расчисткой от покрасок: трудноудаляемых</t>
  </si>
  <si>
    <t>ТЕРр64-38-7</t>
  </si>
  <si>
    <t>Реставрация лепных масок-замков высотой до 500 мм под модель</t>
  </si>
  <si>
    <t>Раздел 39. Погонные лепные изделия высотой до 50 мм</t>
  </si>
  <si>
    <t>ТЕРр64-39-1</t>
  </si>
  <si>
    <t>Смена погонных лепных изделий высотой до 50 мм: цементных</t>
  </si>
  <si>
    <t>ТЕРр64-39-2</t>
  </si>
  <si>
    <t>Смена погонных лепных изделий высотой до 50 мм: гипсовых</t>
  </si>
  <si>
    <t>ТЕРр64-39-3</t>
  </si>
  <si>
    <t>Расчистка погонных лепных изделий высотой до 50 мм от покрасок: легкоудаляемых</t>
  </si>
  <si>
    <t>ТЕРр64-39-4</t>
  </si>
  <si>
    <t>Расчистка погонных лепных изделий высотой до 50 мм от покрасок: трудноудаляемых</t>
  </si>
  <si>
    <t>ТЕРр64-39-5</t>
  </si>
  <si>
    <t>Ремонт погонных лепных изделий высотой до 50 мм с догипсовкой и расчисткой от покрасок: легкоудаляемых</t>
  </si>
  <si>
    <t>ТЕРр64-39-6</t>
  </si>
  <si>
    <t>Ремонт погонных лепных изделий высотой до 50 мм с догипсовкой и расчисткой от покрасок: трудноудаляемых</t>
  </si>
  <si>
    <t>ТЕРр64-39-7</t>
  </si>
  <si>
    <t>Реставрация погонных лепных изделий высотой до 50 мм под модель</t>
  </si>
  <si>
    <t>Раздел 40. Погонные лепные изделия высотой до 100 мм</t>
  </si>
  <si>
    <t>ТЕРр64-40-1</t>
  </si>
  <si>
    <t>Смена погонных лепных изделий высотой до 100 мм: цементных</t>
  </si>
  <si>
    <t>ТЕРр64-40-2</t>
  </si>
  <si>
    <t>Смена погонных лепных изделий высотой до 100 мм: гипсовых</t>
  </si>
  <si>
    <t>ТЕРр64-40-3</t>
  </si>
  <si>
    <t>Расчистка погонных лепных изделий высотой до 100 мм от покрасок: легкоудаляемых</t>
  </si>
  <si>
    <t>ТЕРр64-40-4</t>
  </si>
  <si>
    <t>Расчистка погонных лепных изделий высотой до 100 мм от покрасок: трудноудаляемых</t>
  </si>
  <si>
    <t>ТЕРр64-40-5</t>
  </si>
  <si>
    <t>Ремонт погонных лепных изделий высотой до 100 мм с догипсовкой и расчисткой от покрасок: легкоудаляемых</t>
  </si>
  <si>
    <t>ТЕРр64-40-6</t>
  </si>
  <si>
    <t>Ремонт погонных лепных изделий высотой до 100 мм с догипсовкой и расчисткой от покрасок: трудноудаляемых</t>
  </si>
  <si>
    <t>ТЕРр64-40-7</t>
  </si>
  <si>
    <t>Реставрация погонных лепных изделий высотой до 100 мм под модель</t>
  </si>
  <si>
    <t>Раздел 41. Погонные лепные изделия высотой до 200 мм</t>
  </si>
  <si>
    <t>ТЕРр64-41-1</t>
  </si>
  <si>
    <t>Смена погонных лепных изделий высотой до 200 мм: цементных</t>
  </si>
  <si>
    <t>ТЕРр64-41-2</t>
  </si>
  <si>
    <t>Смена погонных лепных изделий высотой до 200 мм: гипсовых</t>
  </si>
  <si>
    <t>ТЕРр64-41-3</t>
  </si>
  <si>
    <t>Расчистка погонных лепных изделий высотой до 200 мм от покрасок: легкоудаляемых</t>
  </si>
  <si>
    <t>ТЕРр64-41-4</t>
  </si>
  <si>
    <t>Расчистка погонных лепных изделий высотой до 200 мм от покрасок: трудноудаляемых</t>
  </si>
  <si>
    <t>ТЕРр64-41-5</t>
  </si>
  <si>
    <t>Ремонт погонных лепных изделий высотой до 200 мм с догипсовкой и расчисткой от покрасок: легкоудаляемых</t>
  </si>
  <si>
    <t>ТЕРр64-41-6</t>
  </si>
  <si>
    <t>Ремонт погонных лепных изделий высотой до 200 мм с догипсовкой и расчисткой от покрасок: трудноудаляемых</t>
  </si>
  <si>
    <t>ТЕРр64-41-7</t>
  </si>
  <si>
    <t>Реставрация погонных лепных изделий высотой до 200 мм под модель</t>
  </si>
  <si>
    <t>Раздел 42. Погонные лепные изделия высотой до 300 мм</t>
  </si>
  <si>
    <t>ТЕРр64-42-1</t>
  </si>
  <si>
    <t>Смена погонных лепных изделий высотой до 300 мм: цементных</t>
  </si>
  <si>
    <t>ТЕРр64-42-2</t>
  </si>
  <si>
    <t>Смена погонных лепных изделий высотой до 300 мм: гипсовых</t>
  </si>
  <si>
    <t>ТЕРр64-42-3</t>
  </si>
  <si>
    <t>Расчистка погонных лепных изделий высотой до 300 мм от покрасок: легкоудаляемых</t>
  </si>
  <si>
    <t>ТЕРр64-42-4</t>
  </si>
  <si>
    <t>Расчистка погонных лепных изделий высотой до 300 мм от покрасок: трудноудаляемых</t>
  </si>
  <si>
    <t>ТЕРр64-42-5</t>
  </si>
  <si>
    <t>Ремонт погонных лепных изделий высотой до 300 мм с догипсовкой и расчисткой от покрасок: легкоудаляемых</t>
  </si>
  <si>
    <t>ТЕРр64-42-6</t>
  </si>
  <si>
    <t>Ремонт погонных лепных изделий высотой до 300 мм с догипсовкой и расчисткой от покрасок: трудноудаляемых</t>
  </si>
  <si>
    <t>ТЕРр64-42-7</t>
  </si>
  <si>
    <t>Реставрация погонных лепных изделий высотой до 300 мм под модель</t>
  </si>
  <si>
    <t>Раздел 43. Поручни шириной до 250 мм</t>
  </si>
  <si>
    <t>ТЕРр64-43-1</t>
  </si>
  <si>
    <t>Смена лепных поручней шириной до 250 мм: цементных</t>
  </si>
  <si>
    <t>ТЕРр64-43-2</t>
  </si>
  <si>
    <t>Смена лепных поручней шириной до 250 мм: гипсовых</t>
  </si>
  <si>
    <t>ТЕРр64-43-3</t>
  </si>
  <si>
    <t>Расчистка лепных поручней шириной до 250 мм от покрасок: легкоудаляемых</t>
  </si>
  <si>
    <t>ТЕРр64-43-4</t>
  </si>
  <si>
    <t>Расчистка лепных поручней шириной до 250 мм от покрасок: трудноудаляемых</t>
  </si>
  <si>
    <t>ТЕРр64-43-5</t>
  </si>
  <si>
    <t>Ремонт лепных поручней шириной до 250 мм с догипсовкой и расчисткой от покрасок: легкоудаляемых</t>
  </si>
  <si>
    <t>ТЕРр64-43-6</t>
  </si>
  <si>
    <t>Ремонт лепных поручней шириной до 250 мм с догипсовкой и расчисткой от покрасок: трудноудаляемых</t>
  </si>
  <si>
    <t>ТЕРр64-43-7</t>
  </si>
  <si>
    <t>Реставрация лепных поручней шириной до 250 мм под модель</t>
  </si>
  <si>
    <t>Раздел 44. Розетки диаметром до 200 мм</t>
  </si>
  <si>
    <t>ТЕРр64-44-1</t>
  </si>
  <si>
    <t>Смена лепных розеток диаметром до 200 мм: цементных</t>
  </si>
  <si>
    <t>ТЕРр64-44-2</t>
  </si>
  <si>
    <t>Смена лепных розеток диаметром до 200 мм: гипсовых</t>
  </si>
  <si>
    <t>ТЕРр64-44-3</t>
  </si>
  <si>
    <t>Расчистка лепных розеток диаметром до 200 мм от покрасок: легкоудаляемых</t>
  </si>
  <si>
    <t>ТЕРр64-44-4</t>
  </si>
  <si>
    <t>Расчистка лепных розеток диаметром до 200 мм от покрасок: трудноудаляемых</t>
  </si>
  <si>
    <t>ТЕРр64-44-5</t>
  </si>
  <si>
    <t>Ремонт лепных розеток диаметром до 200 мм с догипсовкой и расчисткой от покрасок: легкоудаляемых</t>
  </si>
  <si>
    <t>ТЕРр64-44-6</t>
  </si>
  <si>
    <t>Ремонт лепных розеток диаметром до 200 мм с догипсовкой и расчисткой от покрасок: трудноудаляемых</t>
  </si>
  <si>
    <t>ТЕРр64-44-7</t>
  </si>
  <si>
    <t>Реставрация лепных розеток диаметром до 200 мм под модель</t>
  </si>
  <si>
    <t>Раздел 45. Розетки диаметром до 300 мм</t>
  </si>
  <si>
    <t>ТЕРр64-45-1</t>
  </si>
  <si>
    <t>Смена лепных розеток диаметром до 300 мм: цементных</t>
  </si>
  <si>
    <t>ТЕРр64-45-2</t>
  </si>
  <si>
    <t>Смена лепных розеток диаметром до 300 мм: гипсовых</t>
  </si>
  <si>
    <t>ТЕРр64-45-3</t>
  </si>
  <si>
    <t>Расчистка лепных розеток диаметром до 300 мм от покрасок: легкоудаляемых</t>
  </si>
  <si>
    <t>ТЕРр64-45-4</t>
  </si>
  <si>
    <t>Расчистка лепных розеток диаметром до 300 мм от покрасок: трудноудаляемых</t>
  </si>
  <si>
    <t>ТЕРр64-45-5</t>
  </si>
  <si>
    <t>Ремонт лепных розеток диаметром до 300 мм с догипсовкой и расчисткой от покрасок: легкоудаляемых</t>
  </si>
  <si>
    <t>ТЕРр64-45-6</t>
  </si>
  <si>
    <t>Ремонт лепных розеток диаметром до 300 мм с догипсовкой и расчисткой от покрасок: трудноудаляемых</t>
  </si>
  <si>
    <t>ТЕРр64-45-7</t>
  </si>
  <si>
    <t>Реставрация лепных розеток диаметром до 300 мм под модель</t>
  </si>
  <si>
    <t>Раздел 46. Розетки диаметром до 500 мм</t>
  </si>
  <si>
    <t>ТЕРр64-46-1</t>
  </si>
  <si>
    <t>Смена лепных розеток диаметром до 500 мм: цементных</t>
  </si>
  <si>
    <t>ТЕРр64-46-2</t>
  </si>
  <si>
    <t>Смена лепных розеток диаметром до 500 мм: гипсовых</t>
  </si>
  <si>
    <t>ТЕРр64-46-3</t>
  </si>
  <si>
    <t>Расчистка лепных розеток диаметром до 500 мм от покрасок: легкоудаляемых</t>
  </si>
  <si>
    <t>ТЕРр64-46-4</t>
  </si>
  <si>
    <t>Расчистка лепных розеток диаметром до 500 мм от покрасок: трудноудаляемых</t>
  </si>
  <si>
    <t>ТЕРр64-46-5</t>
  </si>
  <si>
    <t>Ремонт лепных розеток диаметром до 500 мм с догипсовкой и расчисткой от покрасок: легкоудаляемых</t>
  </si>
  <si>
    <t>ТЕРр64-46-6</t>
  </si>
  <si>
    <t>Ремонт лепных розеток диаметром до 500 мм с догипсовкой и расчисткой от покрасок: трудноудаляемых</t>
  </si>
  <si>
    <t>ТЕРр64-46-7</t>
  </si>
  <si>
    <t>Реставрация лепных розеток диаметром до 500 мм под модель</t>
  </si>
  <si>
    <t>Раздел 47. Розетки диаметром до 800 мм</t>
  </si>
  <si>
    <t>ТЕРр64-47-1</t>
  </si>
  <si>
    <t>Смена лепных розеток диаметром до 800 мм: цементных</t>
  </si>
  <si>
    <t>ТЕРр64-47-2</t>
  </si>
  <si>
    <t>Смена лепных розеток диаметром до 800 мм: гипсовых</t>
  </si>
  <si>
    <t>ТЕРр64-47-3</t>
  </si>
  <si>
    <t>Расчистка лепных розеток диаметром до 800 мм от покрасок: легкоудаляемых</t>
  </si>
  <si>
    <t>ТЕРр64-47-4</t>
  </si>
  <si>
    <t>Расчистка лепных розеток диаметром до 800 мм от покрасок: трудноудаляемых</t>
  </si>
  <si>
    <t>ТЕРр64-47-5</t>
  </si>
  <si>
    <t>Ремонт лепных розеток диаметром до 800 мм с догипсовкой и расчисткой от покрасок: легкоудаляемых</t>
  </si>
  <si>
    <t>ТЕРр64-47-6</t>
  </si>
  <si>
    <t>Ремонт лепных розеток диаметром до 800 мм с догипсовкой и расчисткой от покрасок: трудноудаляемых</t>
  </si>
  <si>
    <t>ТЕРр64-47-7</t>
  </si>
  <si>
    <t>Реставрация лепных розеток диаметром до 800 мм под модель</t>
  </si>
  <si>
    <t>Раздел 48. Решетки вентиляционные площадью до 0,1 м2</t>
  </si>
  <si>
    <t>ТЕРр64-48-1</t>
  </si>
  <si>
    <t>Смена лепных гипсовых решеток вентиляционных площадью до 0,1 м2</t>
  </si>
  <si>
    <t>ТЕРр64-48-2</t>
  </si>
  <si>
    <t>Расчистка лепных решеток вентиляционных площадью до 0,1 м2 от покрасок: легкоудаляемых</t>
  </si>
  <si>
    <t>ТЕРр64-48-3</t>
  </si>
  <si>
    <t>Расчистка лепных решеток вентиляционных площадью до 0,1 м2 от покрасок: трудноудаляемых</t>
  </si>
  <si>
    <t>ТЕРр64-48-4</t>
  </si>
  <si>
    <t>Ремонт лепных решеток вентиляционных площадью до 0,1 м2 с догипсовкой и расчисткой от покрасок: легкоудаляемых</t>
  </si>
  <si>
    <t>ТЕРр64-48-5</t>
  </si>
  <si>
    <t>Ремонт лепных решеток вентиляционных площадью до 0,1 м2 с догипсовкой и расчисткой от покрасок: трудноудаляемых</t>
  </si>
  <si>
    <t>ТЕРр64-48-6</t>
  </si>
  <si>
    <t>Реставрация лепных решеток вентиляционных площадью до 0,1 м2 под модель</t>
  </si>
  <si>
    <t>Раздел 49. Решетки вентиляционные площадью до 0,4 м2</t>
  </si>
  <si>
    <t>ТЕРр64-49-1</t>
  </si>
  <si>
    <t>Смена лепных гипсовых решеток вентиляционных площадью до 0,4 м2</t>
  </si>
  <si>
    <t>ТЕРр64-49-2</t>
  </si>
  <si>
    <t>Расчистка лепных решеток вентиляционных площадью до 0,4 м2 от покрасок: легкоудаляемых</t>
  </si>
  <si>
    <t>ТЕРр64-49-3</t>
  </si>
  <si>
    <t>Расчистка лепных решеток вентиляционных площадью до 0,4 м2 от покрасок: трудноудаляемых</t>
  </si>
  <si>
    <t>ТЕРр64-49-4</t>
  </si>
  <si>
    <t>Ремонт лепных решеток вентиляционных площадью до 0,4 м2 с догипсовкой и расчисткой от покрасок: легкоудаляемых</t>
  </si>
  <si>
    <t>ТЕРр64-49-5</t>
  </si>
  <si>
    <t>Ремонт лепных решеток вентиляционных площадью до 0,4 м2 с догипсовкой и расчисткой от покрасок: трудноудаляемых</t>
  </si>
  <si>
    <t>ТЕРр64-49-6</t>
  </si>
  <si>
    <t>Реставрация лепных решеток вентиляционных площадью до 0,4 м2 под модель</t>
  </si>
  <si>
    <t>Раздел 50. Сухари высотой до 150 мм</t>
  </si>
  <si>
    <t>ТЕРр64-50-1</t>
  </si>
  <si>
    <t>Смена лепных сухарей высотой до 150 мм: цементных</t>
  </si>
  <si>
    <t>ТЕРр64-50-2</t>
  </si>
  <si>
    <t>Смена лепных сухарей высотой до 150 мм: гипсовых</t>
  </si>
  <si>
    <t>ТЕРр64-50-3</t>
  </si>
  <si>
    <t>Расчистка лепных сухарей высотой до 150 мм от покрасок: легкоудаляемых</t>
  </si>
  <si>
    <t>ТЕРр64-50-4</t>
  </si>
  <si>
    <t>Расчистка лепных сухарей высотой до 150 мм от покрасок: трудноудаляемых</t>
  </si>
  <si>
    <t>ТЕРр64-50-5</t>
  </si>
  <si>
    <t>Ремонт лепных сухарей высотой до 150 мм с догипсовкой и расчисткой от покрасок: легкоудаляемых</t>
  </si>
  <si>
    <t>ТЕРр64-50-6</t>
  </si>
  <si>
    <t>Ремонт лепных сухарей высотой до 150 мм с догипсовкой и расчисткой от покрасок: трудноудаляемых</t>
  </si>
  <si>
    <t>ТЕРр64-50-7</t>
  </si>
  <si>
    <t>Реставрация лепных сухарей высотой до 150 мм под модель</t>
  </si>
  <si>
    <t>Раздел 51. Сухари высотой до 250 мм</t>
  </si>
  <si>
    <t>ТЕРр64-51-1</t>
  </si>
  <si>
    <t>Смена лепных сухарей высотой до 250 мм: цементных</t>
  </si>
  <si>
    <t>ТЕРр64-51-2</t>
  </si>
  <si>
    <t>Смена лепных сухарей высотой до 250 мм: гипсовых</t>
  </si>
  <si>
    <t>ТЕРр64-51-3</t>
  </si>
  <si>
    <t>Расчистка лепных сухарей высотой до 250 мм от покрасок: легкоудаляемых</t>
  </si>
  <si>
    <t>ТЕРр64-51-4</t>
  </si>
  <si>
    <t>Расчистка лепных сухарей высотой до 250 мм от покрасок: трудноудаляемых</t>
  </si>
  <si>
    <t>ТЕРр64-51-5</t>
  </si>
  <si>
    <t>Ремонт лепных сухарей высотой до 250 мм с догипсовкой и расчисткой от покрасок: легкоудаляемых</t>
  </si>
  <si>
    <t>ТЕРр64-51-6</t>
  </si>
  <si>
    <t>Ремонт лепных сухарей высотой до 250 мм с догипсовкой и расчисткой от покрасок: трудноудаляемых</t>
  </si>
  <si>
    <t>ТЕРр64-51-7</t>
  </si>
  <si>
    <t>Реставрация лепных сухарей высотой до 250 мм под модель</t>
  </si>
  <si>
    <t>Раздел 52. Триглифы высотой до 250 мм</t>
  </si>
  <si>
    <t>ТЕРр64-52-1</t>
  </si>
  <si>
    <t>Смена лепных триглифов высотой до 250 мм: цементных</t>
  </si>
  <si>
    <t>ТЕРр64-52-2</t>
  </si>
  <si>
    <t>Смена лепных триглифов высотой до 250 мм: гипсовых</t>
  </si>
  <si>
    <t>ТЕРр64-52-3</t>
  </si>
  <si>
    <t>Расчистка лепных триглифов высотой до 250 мм от покрасок: легкоудаляемых</t>
  </si>
  <si>
    <t>ТЕРр64-52-4</t>
  </si>
  <si>
    <t>Расчистка лепных триглифов высотой до 250 мм от покрасок: трудноудаляемых</t>
  </si>
  <si>
    <t>ТЕРр64-52-5</t>
  </si>
  <si>
    <t>Ремонт лепных триглифов высотой до 250 мм с догипсовкой и расчисткой от покрасок: легкоудаляемых</t>
  </si>
  <si>
    <t>ТЕРр64-52-6</t>
  </si>
  <si>
    <t>Ремонт лепных триглифов высотой до 250 мм с догипсовкой и расчисткой от покрасок: трудноудаляемых</t>
  </si>
  <si>
    <t>ТЕРр64-52-7</t>
  </si>
  <si>
    <t>Реставрация лепных триглифов высотой до 250 мм под модель</t>
  </si>
  <si>
    <t>Раздел 53. Триглифы высотой до 350 мм</t>
  </si>
  <si>
    <t>ТЕРр64-53-1</t>
  </si>
  <si>
    <t>Смена лепных триглифов высотой до 350 мм: цементных</t>
  </si>
  <si>
    <t>ТЕРр64-53-2</t>
  </si>
  <si>
    <t>Смена лепных триглифов высотой до 350 мм: гипсовых</t>
  </si>
  <si>
    <t>ТЕРр64-53-3</t>
  </si>
  <si>
    <t>Расчистка лепных триглифов высотой до 350 мм от покрасок: легкоудаляемых</t>
  </si>
  <si>
    <t>ТЕРр64-53-4</t>
  </si>
  <si>
    <t>Расчистка лепных триглифов высотой до 350 мм от покрасок: трудноудаляемых</t>
  </si>
  <si>
    <t>ТЕРр64-53-5</t>
  </si>
  <si>
    <t>Ремонт лепных триглифов высотой до 350 мм с догипсовкой и расчисткой от покрасок: легкоудаляемых</t>
  </si>
  <si>
    <t>ТЕРр64-53-6</t>
  </si>
  <si>
    <t>Ремонт лепных триглифов высотой до 350 мм с догипсовкой и расчисткой от покрасок: трудноудаляемых</t>
  </si>
  <si>
    <t>ТЕРр64-53-7</t>
  </si>
  <si>
    <t>Реставрация лепных триглифов высотой до 350 мм под модель</t>
  </si>
  <si>
    <t>Раздел 54. Триглифы высотой до 750 мм</t>
  </si>
  <si>
    <t>ТЕРр64-54-1</t>
  </si>
  <si>
    <t>Смена лепных триглифов высотой до 750 мм: цементных</t>
  </si>
  <si>
    <t>ТЕРр64-54-2</t>
  </si>
  <si>
    <t>Смена лепных триглифов высотой до 750 мм: гипсовых</t>
  </si>
  <si>
    <t>ТЕРр64-54-3</t>
  </si>
  <si>
    <t>Расчистка лепных триглифов высотой до 750 мм от покрасок: легкоудаляемых</t>
  </si>
  <si>
    <t>ТЕРр64-54-4</t>
  </si>
  <si>
    <t>Расчистка лепных триглифов высотой до 750 мм от покрасок: трудноудаляемых</t>
  </si>
  <si>
    <t>ТЕРр64-54-5</t>
  </si>
  <si>
    <t>Ремонт лепных триглифов высотой до 750 мм с догипсовкой и расчисткой от покрасок: легкоудаляемых</t>
  </si>
  <si>
    <t>ТЕРр64-54-6</t>
  </si>
  <si>
    <t>Ремонт лепных триглифов высотой до 750 мм с догипсовкой и расчисткой от покрасок: трудноудаляемых</t>
  </si>
  <si>
    <t>ТЕРр64-54-7</t>
  </si>
  <si>
    <t>Реставрация лепных триглифов высотой до 750 мм под модель</t>
  </si>
  <si>
    <t>Раздел 55. Шишки высотой до 250 мм</t>
  </si>
  <si>
    <t>ТЕРр64-55-1</t>
  </si>
  <si>
    <t>Смена лепных шишек высотой до 250 мм: цементных</t>
  </si>
  <si>
    <t>ТЕРр64-55-2</t>
  </si>
  <si>
    <t>Смена лепных шишек высотой до 250 мм: гипсовых</t>
  </si>
  <si>
    <t>ТЕРр64-55-3</t>
  </si>
  <si>
    <t>Расчистка лепных шишек высотой до 250 мм от покрасок: легкоудаляемых</t>
  </si>
  <si>
    <t>ТЕРр64-55-4</t>
  </si>
  <si>
    <t>Расчистка лепных шишек высотой до 250 мм от покрасок: трудноудаляемых</t>
  </si>
  <si>
    <t>ТЕРр64-55-5</t>
  </si>
  <si>
    <t>Ремонт лепных шишек высотой до 250 мм с догипсовкой и расчисткой от покрасок: легкоудаляемых</t>
  </si>
  <si>
    <t>ТЕРр64-55-6</t>
  </si>
  <si>
    <t>Ремонт лепных шишек высотой до 250 мм с догипсовкой и расчисткой от покрасок: трудноудаляемых</t>
  </si>
  <si>
    <t>ТЕРр64-55-7</t>
  </si>
  <si>
    <t>Реставрация лепных шишек высотой до 250 мм под модель</t>
  </si>
  <si>
    <t>Раздел 56. Эмблемы круглые диаметром до 200 мм</t>
  </si>
  <si>
    <t>ТЕРр64-56-1</t>
  </si>
  <si>
    <t>Смена лепных эмблем круглых диаметром до 200 мм: цементных</t>
  </si>
  <si>
    <t>ТЕРр64-56-2</t>
  </si>
  <si>
    <t>Смена лепных эмблем круглых диаметром до 200 мм: гипсовых</t>
  </si>
  <si>
    <t>ТЕРр64-56-3</t>
  </si>
  <si>
    <t>Расчистка лепных эмблем круглых диаметром до 200 мм от покрасок: легкоудаляемых</t>
  </si>
  <si>
    <t>ТЕРр64-56-4</t>
  </si>
  <si>
    <t>Расчистка лепных эмблем круглых диаметром до 200 мм от покрасок: трудноудаляемых</t>
  </si>
  <si>
    <t>ТЕРр64-56-5</t>
  </si>
  <si>
    <t>Ремонт лепных эмблем круглых диаметром до 200 мм с догипсовкой и расчисткой от покрасок: легкоудаляемых</t>
  </si>
  <si>
    <t>ТЕРр64-56-6</t>
  </si>
  <si>
    <t>Ремонт лепных эмблем круглых диаметром до 200 мм с догипсовкой и расчисткой от покрасок: трудноудаляемых</t>
  </si>
  <si>
    <t>ТЕРр64-56-7</t>
  </si>
  <si>
    <t>Реставрация лепных эмблем круглых диаметром до 200 мм под модель</t>
  </si>
  <si>
    <t>Раздел 57. Эмблемы круглые диаметром до 300 мм</t>
  </si>
  <si>
    <t>ТЕРр64-57-1</t>
  </si>
  <si>
    <t>Смена лепных эмблем круглых диаметром до 300 мм: цементных</t>
  </si>
  <si>
    <t>ТЕРр64-57-2</t>
  </si>
  <si>
    <t>Смена лепных эмблем круглых диаметром до 300 мм: гипсовых</t>
  </si>
  <si>
    <t>ТЕРр64-57-3</t>
  </si>
  <si>
    <t>Расчистка лепных эмблем круглых диаметром до 300 мм от покрасок: легкоудаляемых</t>
  </si>
  <si>
    <t>ТЕРр64-57-4</t>
  </si>
  <si>
    <t>Расчистка лепных эмблем круглых диаметром до 300 мм от покрасок: трудноудаляемых</t>
  </si>
  <si>
    <t>ТЕРр64-57-5</t>
  </si>
  <si>
    <t>Ремонт лепных эмблем круглых диаметром до 300 мм с догипсовкой и расчисткой от покрасок: легкоудаляемых</t>
  </si>
  <si>
    <t>ТЕРр64-57-6</t>
  </si>
  <si>
    <t>Ремонт лепных эмблем круглых диаметром до 300 мм с догипсовкой и расчисткой от покрасок: трудноудаляемых</t>
  </si>
  <si>
    <t>ТЕРр64-57-7</t>
  </si>
  <si>
    <t>Реставрация лепных эмблем круглых диаметром до 300 мм под модель</t>
  </si>
  <si>
    <t>Раздел 58. Эмблемы круглые диаметром до 500 мм</t>
  </si>
  <si>
    <t>ТЕРр64-58-1</t>
  </si>
  <si>
    <t>Смена лепных эмблем круглых диаметром до 500 мм: цементных</t>
  </si>
  <si>
    <t>ТЕРр64-58-2</t>
  </si>
  <si>
    <t>Смена лепных эмблем круглых диаметром до 500 мм: гипсовых</t>
  </si>
  <si>
    <t>ТЕРр64-58-3</t>
  </si>
  <si>
    <t>Расчистка лепных эмблем круглых диаметром до 500 мм от покрасок: легкоудаляемых</t>
  </si>
  <si>
    <t>ТЕРр64-58-4</t>
  </si>
  <si>
    <t>Расчистка лепных эмблем круглых диаметром до 500 мм от покрасок: трудноудаляемых</t>
  </si>
  <si>
    <t>ТЕРр64-58-5</t>
  </si>
  <si>
    <t>Ремонт лепных эмблем круглых диаметром до 500 мм с догипсовкой и расчисткой от покрасок: легкоудаляемых</t>
  </si>
  <si>
    <t>ТЕРр64-58-6</t>
  </si>
  <si>
    <t>Ремонт лепных эмблем круглых диаметром до 500 мм с догипсовкой и расчисткой от покрасок: трудноудаляемых</t>
  </si>
  <si>
    <t>ТЕРр64-58-7</t>
  </si>
  <si>
    <t>Реставрация лепных эмблем круглых диаметром до 500 мм под модель</t>
  </si>
  <si>
    <t>Раздел 59. Эмблемы круглые диаметром до 800 мм</t>
  </si>
  <si>
    <t>ТЕРр64-59-1</t>
  </si>
  <si>
    <t>Смена лепных эмблем круглых диаметром до 800 мм: цементных</t>
  </si>
  <si>
    <t>ТЕРр64-59-2</t>
  </si>
  <si>
    <t>Смена лепных эмблем круглых диаметром до 800 мм: гипсовых</t>
  </si>
  <si>
    <t>ТЕРр64-59-3</t>
  </si>
  <si>
    <t>Расчистка лепных эмблем круглых диаметром до 800 мм от покрасок: легкоудаляемых</t>
  </si>
  <si>
    <t>ТЕРр64-59-4</t>
  </si>
  <si>
    <t>Расчистка лепных эмблем круглых диаметром до 800 мм от покрасок: трудноудаляемых</t>
  </si>
  <si>
    <t>ТЕРр64-59-5</t>
  </si>
  <si>
    <t>Ремонт лепных эмблем круглых диаметром до 800 мм с догипсовкой и расчисткой от покрасок: легкоудаляемых</t>
  </si>
  <si>
    <t>ТЕРр64-59-6</t>
  </si>
  <si>
    <t>Ремонт лепных эмблем круглых диаметром до 800 мм с догипсовкой и расчисткой от покрасок: трудноудаляемых</t>
  </si>
  <si>
    <t>ТЕРр64-59-7</t>
  </si>
  <si>
    <t>Реставрация лепных эмблем круглых диаметром до 800 мм под модель</t>
  </si>
  <si>
    <t>Раздел 60. Эмблемы портальные площадью до 0,5 м2</t>
  </si>
  <si>
    <t>ТЕРр64-60-1</t>
  </si>
  <si>
    <t>Смена лепных эмблем портальных площадью до 0,5 м2: цементных</t>
  </si>
  <si>
    <t>ТЕРр64-60-2</t>
  </si>
  <si>
    <t>Смена лепных эмблем портальных площадью до 0,5 м2: гипсовых</t>
  </si>
  <si>
    <t>ТЕРр64-60-3</t>
  </si>
  <si>
    <t>Расчистка лепных эмблем портальных площадью до 0,5 м2 от покрасок: легкоудаляемых</t>
  </si>
  <si>
    <t>ТЕРр64-60-4</t>
  </si>
  <si>
    <t>Расчистка лепных эмблем портальных площадью до 0,5 м2 от покрасок: трудноудаляемых</t>
  </si>
  <si>
    <t>ТЕРр64-60-5</t>
  </si>
  <si>
    <t>Ремонт лепных эмблем портальных площадью до 0,5 м2 с догипсовкой и расчисткой от покрасок: легкоудаляемых</t>
  </si>
  <si>
    <t>ТЕРр64-60-6</t>
  </si>
  <si>
    <t>Ремонт лепных эмблем портальных площадью до 0,5 м2 с догипсовкой и расчисткой от покрасок: трудноудаляемых</t>
  </si>
  <si>
    <t>ТЕРр64-60-7</t>
  </si>
  <si>
    <t>Реставрация лепных эмблем портальных площадью до 0,5 м2 под модель</t>
  </si>
  <si>
    <t>Раздел 61. Эмблемы портальные площадью до 0,75 м2</t>
  </si>
  <si>
    <t>ТЕРр64-61-1</t>
  </si>
  <si>
    <t>Смена лепных эмблем портальных площадью до 0,75 м2: цементных</t>
  </si>
  <si>
    <t>ТЕРр64-61-2</t>
  </si>
  <si>
    <t>Смена лепных эмблем портальных площадью до 0,75 м2: гипсовых</t>
  </si>
  <si>
    <t>ТЕРр64-61-3</t>
  </si>
  <si>
    <t>Расчистка лепных эмблем портальных площадью до 0,75 м2 от покрасок: легкоудаляемых</t>
  </si>
  <si>
    <t>ТЕРр64-61-4</t>
  </si>
  <si>
    <t>Расчистка лепных эмблем портальных площадью до 0,75 м2 от покрасок: трудноудаляемых</t>
  </si>
  <si>
    <t>ТЕРр64-61-5</t>
  </si>
  <si>
    <t>Ремонт лепных эмблем портальных площадью до 0,75 м2 с догипсовкой и расчисткой от покрасок: легкоудаляемых</t>
  </si>
  <si>
    <t>ТЕРр64-61-6</t>
  </si>
  <si>
    <t>Ремонт лепных эмблем портальных площадью до 0,75 м2 с догипсовкой и расчисткой от покрасок: трудноудаляемых</t>
  </si>
  <si>
    <t>ТЕРр64-61-7</t>
  </si>
  <si>
    <t>Реставрация лепных эмблем портальных площадью до 0,75 м2 под модель</t>
  </si>
  <si>
    <t>Раздел 62. Эмблемы портальные площадью до 1,0 м2</t>
  </si>
  <si>
    <t>ТЕРр64-62-1</t>
  </si>
  <si>
    <t>Смена лепных эмблем портальных площадью до 1,0 м2: цементных</t>
  </si>
  <si>
    <t>ТЕРр64-62-2</t>
  </si>
  <si>
    <t>Смена лепных эмблем портальных площадью до 1,0 м2: гипсовых</t>
  </si>
  <si>
    <t>ТЕРр64-62-3</t>
  </si>
  <si>
    <t>Расчистка лепных эмблем портальных площадью до 1,0 м2 от покрасок: легкоудаляемых</t>
  </si>
  <si>
    <t>ТЕРр64-62-4</t>
  </si>
  <si>
    <t>Расчистка лепных эмблем портальных площадью до 1,0 м2 от покрасок: трудноудаляемых</t>
  </si>
  <si>
    <t>ТЕРр64-62-5</t>
  </si>
  <si>
    <t>Ремонт лепных эмблем портальных площадью до 1,0 м2 с догипсовкой и расчисткой от покрасок: легкоудаляемых</t>
  </si>
  <si>
    <t>ТЕРр64-62-6</t>
  </si>
  <si>
    <t>Ремонт лепных эмблем портальных площадью до 1,0 м2 с догипсовкой и расчисткой от покрасок: трудноудаляемых</t>
  </si>
  <si>
    <t>ТЕРр64-62-7</t>
  </si>
  <si>
    <t>Реставрация лепных эмблем портальных площадью до 1,0 м2 под модель</t>
  </si>
  <si>
    <r>
      <t xml:space="preserve">               </t>
    </r>
    <r>
      <rPr>
        <sz val="18"/>
        <rFont val="Arial"/>
        <family val="2"/>
        <charset val="204"/>
      </rPr>
      <t>ТЕРр 65</t>
    </r>
  </si>
  <si>
    <t xml:space="preserve">Раздел 1. </t>
  </si>
  <si>
    <t>Разборка трубопроводов из водогазопроводных труб</t>
  </si>
  <si>
    <t>ТЕРр65-1-1</t>
  </si>
  <si>
    <t>Разборка трубопроводов из водогазопроводных труб диаметром: до 32 мм</t>
  </si>
  <si>
    <t>ТЕРр65-1-2</t>
  </si>
  <si>
    <t>Разборка трубопроводов из водогазопроводных труб диаметром: до 63 мм</t>
  </si>
  <si>
    <t>ТЕРр65-1-3</t>
  </si>
  <si>
    <t>Разборка трубопроводов из водогазопроводных труб диаметром: до 100 мм</t>
  </si>
  <si>
    <t>Разборка трубопроводов из чугунных канализационных труб</t>
  </si>
  <si>
    <t>ТЕРр65-2-1</t>
  </si>
  <si>
    <t>Разборка трубопроводов из чугунных канализационных труб диаметром: 50 мм</t>
  </si>
  <si>
    <t>ТЕРр65-2-2</t>
  </si>
  <si>
    <t>Разборка трубопроводов из чугунных канализационных труб диаметром: 100 мм</t>
  </si>
  <si>
    <t>ТЕРр65-2-3</t>
  </si>
  <si>
    <t>Разборка трубопроводов из чугунных канализационных труб диаметром: 150 мм</t>
  </si>
  <si>
    <t>Снятие арматуры</t>
  </si>
  <si>
    <t>ТЕРр65-3-1</t>
  </si>
  <si>
    <t>Снятие кранов водоразборных или туалетных</t>
  </si>
  <si>
    <t>ТЕРр65-3-2</t>
  </si>
  <si>
    <t>Снятие клапанов фланцевых: приемных диаметром до 50 мм</t>
  </si>
  <si>
    <t>ТЕРр65-3-3</t>
  </si>
  <si>
    <t>Снятие клапанов фланцевых: приемных диаметром до 100 мм</t>
  </si>
  <si>
    <t>ТЕРр65-3-4</t>
  </si>
  <si>
    <t>Снятие клапанов фланцевых: обратных диаметром до 50 мм</t>
  </si>
  <si>
    <t>ТЕРр65-3-5</t>
  </si>
  <si>
    <t>Снятие клапанов фланцевых: обратных диаметром до 100 мм</t>
  </si>
  <si>
    <t>ТЕРр65-3-6</t>
  </si>
  <si>
    <t>Снятие смесителя: с душевой сеткой</t>
  </si>
  <si>
    <t>ТЕРр65-3-7</t>
  </si>
  <si>
    <t>Снятие смесителя: без душевой сетки</t>
  </si>
  <si>
    <t>ТЕРр65-3-8</t>
  </si>
  <si>
    <t>Снятие водомеров диаметром: до 50 мм</t>
  </si>
  <si>
    <t>ТЕРр65-3-9</t>
  </si>
  <si>
    <t>Снятие водомеров диаметром: до 100 мм</t>
  </si>
  <si>
    <t>ТЕРр65-3-10</t>
  </si>
  <si>
    <t>Снятие колонок: водоразборных</t>
  </si>
  <si>
    <t>ТЕРр65-3-11</t>
  </si>
  <si>
    <t>Снятие колонок: водогрейных</t>
  </si>
  <si>
    <t>ТЕРр65-3-12</t>
  </si>
  <si>
    <t>Снятие пожарных гидрантов</t>
  </si>
  <si>
    <t>ТЕРр65-3-13</t>
  </si>
  <si>
    <t>Снятие задвижек диаметром: до 100 мм</t>
  </si>
  <si>
    <t>ТЕРр65-3-14</t>
  </si>
  <si>
    <t>Снятие задвижек диаметром: до 200 мм</t>
  </si>
  <si>
    <t>ТЕРр65-3-15</t>
  </si>
  <si>
    <t>Снятие вантузов воздушных: одинарных диаметром 50 мм</t>
  </si>
  <si>
    <t>ТЕРр65-3-16</t>
  </si>
  <si>
    <t>Снятие вантузов воздушных: двойных диаметром 50 мм</t>
  </si>
  <si>
    <t>ТЕРр65-3-17</t>
  </si>
  <si>
    <t>Снятие водомерных узлов массой: до 100 кг</t>
  </si>
  <si>
    <t>ТЕРр65-3-18</t>
  </si>
  <si>
    <t>Снятие водомерных узлов массой: до 200 кг</t>
  </si>
  <si>
    <t>Демонтаж санитарно-технических приборов</t>
  </si>
  <si>
    <t>ТЕРр65-4-1</t>
  </si>
  <si>
    <t>Демонтаж: умывальников и раковин</t>
  </si>
  <si>
    <t>ТЕРр65-4-2</t>
  </si>
  <si>
    <t>Демонтаж: унитазов и писсуаров</t>
  </si>
  <si>
    <t>ТЕРр65-4-3</t>
  </si>
  <si>
    <t>Демонтаж: моек</t>
  </si>
  <si>
    <t>ТЕРр65-4-4</t>
  </si>
  <si>
    <t>Демонтаж: ванн</t>
  </si>
  <si>
    <t>ТЕРр65-4-5</t>
  </si>
  <si>
    <t>Демонтаж: смывных труб</t>
  </si>
  <si>
    <t>ТЕРр65-4-6</t>
  </si>
  <si>
    <t>Демонтаж: сидений к унитазам</t>
  </si>
  <si>
    <t>ТЕРр65-4-7</t>
  </si>
  <si>
    <t>Демонтаж: сифонов</t>
  </si>
  <si>
    <t>ТЕРр65-4-8</t>
  </si>
  <si>
    <t>Демонтаж: смывных бачков чугунных или фаянсовых на стене</t>
  </si>
  <si>
    <t>ТЕРр65-4-9</t>
  </si>
  <si>
    <t>Демонтаж: смывных бачков пластмассовых на стене</t>
  </si>
  <si>
    <t>ТЕРр65-4-10</t>
  </si>
  <si>
    <t>Демонтаж: смывных бачков фаянсовых на унитазе</t>
  </si>
  <si>
    <t>ТЕРр65-4-11</t>
  </si>
  <si>
    <t>Демонтаж: биде</t>
  </si>
  <si>
    <t>Смена арматуры</t>
  </si>
  <si>
    <t>ТЕРр65-5-1</t>
  </si>
  <si>
    <t>Смена вентилей и клапанов обратных муфтовых диаметром: до 20 мм</t>
  </si>
  <si>
    <t>ТЕРр65-5-2</t>
  </si>
  <si>
    <t>Смена вентилей и клапанов обратных муфтовых диаметром: до 32 мм</t>
  </si>
  <si>
    <t>ТЕРр65-5-3</t>
  </si>
  <si>
    <t>Смена вентилей и клапанов обратных муфтовых диаметром: до 50 мм</t>
  </si>
  <si>
    <t>ТЕРр65-5-4</t>
  </si>
  <si>
    <t>Смена кранов: писсуарных</t>
  </si>
  <si>
    <t>ТЕРр65-5-5</t>
  </si>
  <si>
    <t>Смена кранов: водоразборных и туалетных</t>
  </si>
  <si>
    <t>ТЕРр65-5-6</t>
  </si>
  <si>
    <t>Смена смесителей: с душевой сеткой</t>
  </si>
  <si>
    <t>ТЕРр65-5-7</t>
  </si>
  <si>
    <t>Смена смесителей: без душевой сетки</t>
  </si>
  <si>
    <t>ТЕРр65-5-8</t>
  </si>
  <si>
    <t>Смена задвижек диаметром: 50 мм</t>
  </si>
  <si>
    <t>ТЕРр65-5-9</t>
  </si>
  <si>
    <t>Смена задвижек диаметром: 100 мм</t>
  </si>
  <si>
    <t>ТЕРр65-5-10</t>
  </si>
  <si>
    <t>Смена задвижек диаметром: 150 мм</t>
  </si>
  <si>
    <t>Смена санитарно-технических приборов</t>
  </si>
  <si>
    <t>ТЕРр65-6-1</t>
  </si>
  <si>
    <t>Смена: трапов диаметром до 50 мм</t>
  </si>
  <si>
    <t>ТЕРр65-6-2</t>
  </si>
  <si>
    <t>Смена: трапов диаметром до 100 мм</t>
  </si>
  <si>
    <t>ТЕРр65-6-3</t>
  </si>
  <si>
    <t>Смена: сифонов чугунных</t>
  </si>
  <si>
    <t>ТЕРр65-6-4</t>
  </si>
  <si>
    <t>Смена: писсуаров</t>
  </si>
  <si>
    <t>ТЕРр65-6-5</t>
  </si>
  <si>
    <t>Смена: сидений к унитазам</t>
  </si>
  <si>
    <t>ТЕРр65-6-6</t>
  </si>
  <si>
    <t>Смена: манжетов резиновых к унитазам</t>
  </si>
  <si>
    <t>ТЕРр65-6-7</t>
  </si>
  <si>
    <t>Смена: смывных труб с резиновыми манжетами</t>
  </si>
  <si>
    <t>ТЕРр65-6-8</t>
  </si>
  <si>
    <t>Смена: выпусков к умывальникам и мойкам</t>
  </si>
  <si>
    <t>ТЕРр65-6-9</t>
  </si>
  <si>
    <t>Смена: смывных бачков</t>
  </si>
  <si>
    <t>ТЕРр65-6-10</t>
  </si>
  <si>
    <t>Смена: гибких подводок</t>
  </si>
  <si>
    <t>ТЕРр65-6-11</t>
  </si>
  <si>
    <t>Смена: смывных кранов</t>
  </si>
  <si>
    <t>ТЕРр65-6-12</t>
  </si>
  <si>
    <t>Смена: унитазов типа «Компакт»</t>
  </si>
  <si>
    <t>ТЕРр65-6-13</t>
  </si>
  <si>
    <t>Смена: чаш «Генуя»</t>
  </si>
  <si>
    <t>ТЕРр65-6-14</t>
  </si>
  <si>
    <t>Смена: унитазов</t>
  </si>
  <si>
    <t>ТЕРр65-6-15</t>
  </si>
  <si>
    <t>Смена: моек на одно отделение</t>
  </si>
  <si>
    <t>ТЕРр65-6-16</t>
  </si>
  <si>
    <t>Смена: моек на два отделения</t>
  </si>
  <si>
    <t>ТЕРр65-6-17</t>
  </si>
  <si>
    <t>Смена: ванн чугунных</t>
  </si>
  <si>
    <t>ТЕРр65-6-18</t>
  </si>
  <si>
    <t>Смена: ванн стальных</t>
  </si>
  <si>
    <t>ТЕРр65-6-19</t>
  </si>
  <si>
    <t>Смена: раковин</t>
  </si>
  <si>
    <t>ТЕРр65-6-20</t>
  </si>
  <si>
    <t>Смена: полотенцесушителей</t>
  </si>
  <si>
    <t>ТЕРр65-6-21</t>
  </si>
  <si>
    <t>Смена: водомеров диаметром до 65 мм</t>
  </si>
  <si>
    <t>ТЕРр65-6-22</t>
  </si>
  <si>
    <t>Смена: водомеров диаметром до 100 мм</t>
  </si>
  <si>
    <t>ТЕРр65-6-23</t>
  </si>
  <si>
    <t>Смена: водосточных воронок</t>
  </si>
  <si>
    <t>ТЕРр65-6-24</t>
  </si>
  <si>
    <t>Смена: умывальников</t>
  </si>
  <si>
    <t>ТЕРр65-6-25</t>
  </si>
  <si>
    <t>Смена: шарового крана смывного бачка</t>
  </si>
  <si>
    <t>ТЕРр65-6-26</t>
  </si>
  <si>
    <t>Регулировка смывного бачка</t>
  </si>
  <si>
    <t>Смена внутренних трубопроводов из чугунных канализационных труб</t>
  </si>
  <si>
    <t>ТЕРр65-7-1</t>
  </si>
  <si>
    <t>Смена внутренних трубопроводов из чугунных канализационных труб диаметром: до 50 мм</t>
  </si>
  <si>
    <t>ТЕРр65-7-2</t>
  </si>
  <si>
    <t>Смена внутренних трубопроводов из чугунных канализационных труб диаметром: до 100 мм</t>
  </si>
  <si>
    <t>ТЕРр65-7-3</t>
  </si>
  <si>
    <t>Смена внутренних трубопроводов из чугунных канализационных труб диаметром: до 150 мм</t>
  </si>
  <si>
    <t>Смена трубопроводов из полиэтиленовых канализационных труб</t>
  </si>
  <si>
    <t>ТЕРр65-8-1</t>
  </si>
  <si>
    <t>Смена трубопроводов из полиэтиленовых канализационных труб диаметром: до 50 мм</t>
  </si>
  <si>
    <t>ТЕРр65-8-2</t>
  </si>
  <si>
    <t>Смена трубопроводов из полиэтиленовых канализационных труб диаметром: до 100 мм</t>
  </si>
  <si>
    <t>Смена внутренних трубопроводов из стальных труб; замена внутренних трубопроводов из стальных труб на многослойные металл-полимерные трубы</t>
  </si>
  <si>
    <t>ТЕРр65-9-1</t>
  </si>
  <si>
    <t>Смена внутренних трубопроводов из стальных труб диаметром: до 15 мм</t>
  </si>
  <si>
    <t>ТЕРр65-9-2</t>
  </si>
  <si>
    <t>Смена внутренних трубопроводов из стальных труб диаметром: до 20 мм</t>
  </si>
  <si>
    <t>ТЕРр65-9-3</t>
  </si>
  <si>
    <t>Смена внутренних трубопроводов из стальных труб диаметром: до 25 мм</t>
  </si>
  <si>
    <t>ТЕРр65-9-4</t>
  </si>
  <si>
    <t>Смена внутренних трубопроводов из стальных труб диаметром: до 32 мм</t>
  </si>
  <si>
    <t>ТЕРр65-9-5</t>
  </si>
  <si>
    <t>Смена внутренних трубопроводов из стальных труб диаметром: до 40 мм</t>
  </si>
  <si>
    <t>ТЕРр65-9-6</t>
  </si>
  <si>
    <t>Смена внутренних трубопроводов из стальных труб диаметром: до 50 мм</t>
  </si>
  <si>
    <t>ТЕРр65-9-7</t>
  </si>
  <si>
    <t>Смена внутренних трубопроводов из стальных труб диаметром: до 65 мм</t>
  </si>
  <si>
    <t>ТЕРр65-9-8</t>
  </si>
  <si>
    <t>Смена внутренних трубопроводов из стальных труб диаметром: до 80 мм</t>
  </si>
  <si>
    <t>ТЕРр65-9-9</t>
  </si>
  <si>
    <t>Смена внутренних трубопроводов из стальных труб диаметром: до 100 мм</t>
  </si>
  <si>
    <t>ТЕРр65-9-10</t>
  </si>
  <si>
    <t>Замена внутренних трубопроводов водоснабжения из стальных труб на многослойные металл-полимерные трубы диаметром: до 15 мм</t>
  </si>
  <si>
    <t>ТЕРр65-9-11</t>
  </si>
  <si>
    <t>Замена внутренних трубопроводов водоснабжения из стальных труб на многослойные металл-полимерные трубы диаметром: до 20 мм</t>
  </si>
  <si>
    <t>ТЕРр65-9-12</t>
  </si>
  <si>
    <t>Замена внутренних трубопроводов водоснабжения из стальных труб на многослойные металл-полимерные трубы диаметром: до 25 мм</t>
  </si>
  <si>
    <t>ТЕРр65-9-13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</si>
  <si>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диаметром: до 15 мм</t>
  </si>
  <si>
    <t>ТЕРр65-9-14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</si>
  <si>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диаметром: до 20 мм</t>
  </si>
  <si>
    <t>ТЕРр65-9-15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</si>
  <si>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диаметром: до 25 мм</t>
  </si>
  <si>
    <t>Прочистка канализационной сети</t>
  </si>
  <si>
    <t>ТЕРр65-10-1</t>
  </si>
  <si>
    <t>Очистка канализационной сети: внутренней</t>
  </si>
  <si>
    <t>ТЕРр65-10-2</t>
  </si>
  <si>
    <t>Очистка канализационной сети: дворовой</t>
  </si>
  <si>
    <t>Ремонт бетонных лотков в колодцах</t>
  </si>
  <si>
    <t>ТЕРр65-11-1</t>
  </si>
  <si>
    <t>Прочистка труб внутренней канализации диаметром 50-150 мм установкой R 600 для прочистки труб фирмы «ROTHENBERGER»</t>
  </si>
  <si>
    <t>ТЕРр65-70-1</t>
  </si>
  <si>
    <t>Прочистка труб внутренней канализации диаметром 50-150 мм установкой R 600 для прочистки труб фирмы «ROTHENBERGER»: простого засора</t>
  </si>
  <si>
    <t>ТЕРр65-70-2</t>
  </si>
  <si>
    <t>Прочистка труб внутренней канализации диаметром 50-150 мм установкой R 600 для прочистки труб фирмы «ROTHENBERGER»: сложного засора</t>
  </si>
  <si>
    <t>ТЕРр65-70-3</t>
  </si>
  <si>
    <t>Прочистка труб внутренней канализации диаметром 50-150 мм установкой R 600 для прочистки труб фирмы «ROTHENBERGER»: при узких или изогнутых трубах</t>
  </si>
  <si>
    <t>Демонтаж расширительных и конденсационных баков</t>
  </si>
  <si>
    <t>ТЕРр65-12-1</t>
  </si>
  <si>
    <t>Демонтаж расширительных и конденсационных баков емкостью: до 0,9 м3</t>
  </si>
  <si>
    <t>ТЕРр65-12-2</t>
  </si>
  <si>
    <t>Демонтаж расширительных и конденсационных баков емкостью: до 2,0 м3</t>
  </si>
  <si>
    <t>ТЕРр65-12-3</t>
  </si>
  <si>
    <t>Демонтаж расширительных и конденсационных баков емкостью: более 2,0 м3</t>
  </si>
  <si>
    <t>Демонтаж воздухосборников и грязевиков</t>
  </si>
  <si>
    <t>ТЕРр65-13-1</t>
  </si>
  <si>
    <t>Демонтаж: воздухосборников</t>
  </si>
  <si>
    <t>ТЕРр65-13-2</t>
  </si>
  <si>
    <t>Демонтаж: грязевиков</t>
  </si>
  <si>
    <t>Разборка трубопроводов из водогазопроводных труб в зданиях и сооружениях</t>
  </si>
  <si>
    <t>ТЕРр65-14-1</t>
  </si>
  <si>
    <t>Разборка трубопроводов из водогазопроводных труб в зданиях и сооружениях: на резьбе диаметром до 32 мм</t>
  </si>
  <si>
    <t>ТЕРр65-14-2</t>
  </si>
  <si>
    <t>Разборка трубопроводов из водогазопроводных труб в зданиях и сооружениях: на резьбе диаметром до 50 мм</t>
  </si>
  <si>
    <t>ТЕРр65-14-3</t>
  </si>
  <si>
    <t>Разборка трубопроводов из водогазопроводных труб в зданиях и сооружениях: на сварке диаметром до 50 мм</t>
  </si>
  <si>
    <t>ТЕРр65-14-4</t>
  </si>
  <si>
    <t>Разборка трубопроводов из водогазопроводных труб в зданиях и сооружениях: на сварке диаметром до 100 мм</t>
  </si>
  <si>
    <t>ТЕРр65-14-5</t>
  </si>
  <si>
    <t>Разборка трубопроводов из водогазопроводных труб в зданиях и сооружениях: на сварке диаметром до 150 мм</t>
  </si>
  <si>
    <t>Смена отдельных участков трубопроводов с заготовкой труб в построечных условиях; замена трубопроводов отопления из стальных труб на трубопроводы из многослойных металлополимерных труб</t>
  </si>
  <si>
    <t>ТЕРр65-15-1</t>
  </si>
  <si>
    <t>Смена отдельных участков трубопроводов с заготовкой труб в построечных условиях диаметром: до 20 мм</t>
  </si>
  <si>
    <t>ТЕРр65-15-2</t>
  </si>
  <si>
    <t>Смена отдельных участков трубопроводов с заготовкой труб в построечных условиях диаметром: до 32 мм</t>
  </si>
  <si>
    <t>ТЕРр65-15-3</t>
  </si>
  <si>
    <t>Смена отдельных участков трубопроводов с заготовкой труб в построечных условиях диаметром: до 50 мм</t>
  </si>
  <si>
    <t>ТЕРр65-15-4</t>
  </si>
  <si>
    <t>Смена отдельных участков трубопроводов с заготовкой труб в построечных условиях диаметром: до 80 мм</t>
  </si>
  <si>
    <t>ТЕРр65-15-5</t>
  </si>
  <si>
    <t>Замена трубопроводов отопления из стальных труб на трубопроводы из многослойных металлополимерных труб: при стояковой системе отопления диаметром до 15 мм</t>
  </si>
  <si>
    <t>ТЕРр65-15-6</t>
  </si>
  <si>
    <t>Замена трубопроводов отопления из стальных труб на трубопроводы из многослойных металлополимерных труб: при стояковой системе отопления диаметром до 20 мм</t>
  </si>
  <si>
    <t>ТЕРр65-15-7</t>
  </si>
  <si>
    <t>Замена трубопроводов отопления из стальных труб на трубопроводы из многослойных металлополимерных труб: при стояковой системе отопления диаметром до 25 мм</t>
  </si>
  <si>
    <t>ТЕРр65-15-8</t>
  </si>
  <si>
    <t>Замена трубопроводов отопления из стальных труб на трубопроводы из многослойных металлополимерных труб: при коллекторной системе отопления диаметром до 15 мм</t>
  </si>
  <si>
    <t>ТЕРр65-15-9</t>
  </si>
  <si>
    <t>Замена трубопроводов отопления из стальных труб на трубопроводы из многослойных металлополимерных труб: при коллекторной системе отопления диаметром до 20 мм</t>
  </si>
  <si>
    <t>ТЕРр65-15-10</t>
  </si>
  <si>
    <t>Замена трубопроводов отопления из стальных труб на трубопроводы из многослойных металлополимерных труб: при коллекторной системе отопления диаметром до 25 мм</t>
  </si>
  <si>
    <t>Смена сгонов у трубопроводов</t>
  </si>
  <si>
    <t>ТЕРр65-16-1</t>
  </si>
  <si>
    <t>Смена сгонов у трубопроводов диаметром: до 20 мм</t>
  </si>
  <si>
    <t>ТЕРр65-16-2</t>
  </si>
  <si>
    <t>Смена сгонов у трубопроводов диаметром: до 32 мм</t>
  </si>
  <si>
    <t>ТЕРр65-16-3</t>
  </si>
  <si>
    <t>Смена сгонов у трубопроводов диаметром: до 50 мм</t>
  </si>
  <si>
    <t>Установка заглушек</t>
  </si>
  <si>
    <t>ТЕРр65-17-1</t>
  </si>
  <si>
    <t>Установка заглушек диаметром трубопроводов: до 100 мм</t>
  </si>
  <si>
    <t>ТЕРр65-17-2</t>
  </si>
  <si>
    <t>Установка заглушек диаметром трубопроводов: до 150 мм</t>
  </si>
  <si>
    <t>ТЕРр65-17-3</t>
  </si>
  <si>
    <t>Установка заглушек диаметром трубопроводов: до 250 мм</t>
  </si>
  <si>
    <t>Ремонт арматуры</t>
  </si>
  <si>
    <t>ТЕРр65-18-1</t>
  </si>
  <si>
    <t>Ремонт задвижек диаметром: до 100 мм без снятия с места</t>
  </si>
  <si>
    <t>ТЕРр65-18-2</t>
  </si>
  <si>
    <t>Ремонт задвижек диаметром: до 100 мм со снятием с места</t>
  </si>
  <si>
    <t>ТЕРр65-18-3</t>
  </si>
  <si>
    <t>Ремонт задвижек диаметром: до 150 мм без снятия с места</t>
  </si>
  <si>
    <t>ТЕРр65-18-4</t>
  </si>
  <si>
    <t>Ремонт задвижек диаметром: до 150 мм со снятием с места</t>
  </si>
  <si>
    <t>ТЕРр65-18-5</t>
  </si>
  <si>
    <t>Ремонт задвижек диаметром: до 200 мм без снятия с места</t>
  </si>
  <si>
    <t>ТЕРр65-18-6</t>
  </si>
  <si>
    <t>Ремонт задвижек диаметром: до 200 мм со снятием с места</t>
  </si>
  <si>
    <t>ТЕРр65-18-7</t>
  </si>
  <si>
    <t>Ремонт предохранительных клапанов: однорычажных</t>
  </si>
  <si>
    <t>ТЕРр65-18-8</t>
  </si>
  <si>
    <t>Ремонт предохранительных клапанов: двухрычажных</t>
  </si>
  <si>
    <t>ТЕРр65-18-9</t>
  </si>
  <si>
    <t>Ремонт конденсатоотводчиков</t>
  </si>
  <si>
    <t>Демонтаж нагревательных приборов</t>
  </si>
  <si>
    <t>ТЕРр65-19-1</t>
  </si>
  <si>
    <t>Демонтаж: радиаторов весом до 80 кг</t>
  </si>
  <si>
    <t>ТЕРр65-19-2</t>
  </si>
  <si>
    <t>Демонтаж: радиаторов весом до 160 кг</t>
  </si>
  <si>
    <t>ТЕРр65-19-3</t>
  </si>
  <si>
    <t>Демонтаж: радиаторов весом до 240 кг</t>
  </si>
  <si>
    <t>ТЕРр65-19-4</t>
  </si>
  <si>
    <t>Демонтаж: ребристых труб</t>
  </si>
  <si>
    <t>ТЕРр65-19-5</t>
  </si>
  <si>
    <t>Демонтаж: конвекторов</t>
  </si>
  <si>
    <t>ТЕРр65-19-6</t>
  </si>
  <si>
    <t>Демонтаж: калориферов массой до 125 кг</t>
  </si>
  <si>
    <t>ТЕРр65-19-7</t>
  </si>
  <si>
    <t>Демонтаж: калориферов массой до 250 кг</t>
  </si>
  <si>
    <t>Перегруппировка секций старых радиаторов</t>
  </si>
  <si>
    <t>ТЕРр65-20-1</t>
  </si>
  <si>
    <t>Перегруппировка секций старых радиаторов с отсоединением и обратным присоединением одной секции при весе радиатора: до 80 кг</t>
  </si>
  <si>
    <t>ТЕРр65-20-2</t>
  </si>
  <si>
    <t>Перегруппировка секций старых радиаторов с отсоединением и обратным присоединением одной секции при весе радиатора: до 160 кг</t>
  </si>
  <si>
    <t>ТЕРр65-20-3</t>
  </si>
  <si>
    <t>Перегруппировка секций старых радиаторов с отсоединением и обратным присоединением одной секции при весе радиатора: до 240 кг</t>
  </si>
  <si>
    <t>ТЕРр65-20-4</t>
  </si>
  <si>
    <t>На каждую секцию сверх первой добавлять к расценкам 65-20-1, 65-20-2, 65-20-3</t>
  </si>
  <si>
    <t>Добавление или снятие секций радиаторов</t>
  </si>
  <si>
    <t>ТЕРр65-21-1</t>
  </si>
  <si>
    <t>Добавление секций радиаторов одной или двух: крайних</t>
  </si>
  <si>
    <t>ТЕРр65-21-2</t>
  </si>
  <si>
    <t>Добавление секций радиаторов одной или двух: средних</t>
  </si>
  <si>
    <t>ТЕРр65-21-3</t>
  </si>
  <si>
    <t>Снятие секций радиаторов одной или двух: крайних</t>
  </si>
  <si>
    <t>ТЕРр65-21-4</t>
  </si>
  <si>
    <t>Снятие секций радиаторов одной или двух: средних</t>
  </si>
  <si>
    <t>ТЕРр65-21-5</t>
  </si>
  <si>
    <t>При добавлении свыше двух секций на каждую последующую добавлять: к расценке 65-21-1</t>
  </si>
  <si>
    <t>ТЕРр65-21-6</t>
  </si>
  <si>
    <t>При добавлении свыше двух секций на каждую последующую добавлять: к расценке 65-21-2</t>
  </si>
  <si>
    <t>ТЕРр65-21-7</t>
  </si>
  <si>
    <t>При снятии свыше двух секций на каждую последующую добавлять: к расценке 65-21-3</t>
  </si>
  <si>
    <t>ТЕРр65-21-8</t>
  </si>
  <si>
    <t>При снятии свыше двух секций на каждую последующую добавлять: к расценке 65-21-4</t>
  </si>
  <si>
    <t>Прочистка и промывка отопительных приборов</t>
  </si>
  <si>
    <t>ТЕРр65-22-1</t>
  </si>
  <si>
    <t>Прочистка и промывка: радиаторов отопления весом до 80 кг внутри здания</t>
  </si>
  <si>
    <t>ТЕРр65-22-2</t>
  </si>
  <si>
    <t>Прочистка и промывка: радиаторов отопления весом до 160 кг внутри здания</t>
  </si>
  <si>
    <t>ТЕРр65-22-3</t>
  </si>
  <si>
    <t>Прочистка и промывка: радиаторов отопления весом до 240 кг внутри здания</t>
  </si>
  <si>
    <t>ТЕРр65-22-4</t>
  </si>
  <si>
    <t>Прочистка и промывка: ребристых труб внутри здания</t>
  </si>
  <si>
    <t>ТЕРр65-22-5</t>
  </si>
  <si>
    <t>Прочистка и промывка: радиаторов отопления весом до 80 кг вне здания</t>
  </si>
  <si>
    <t>ТЕРр65-22-6</t>
  </si>
  <si>
    <t>Прочистка и промывка: радиаторов отопления весом до 160 кг вне здания</t>
  </si>
  <si>
    <t>ТЕРр65-22-7</t>
  </si>
  <si>
    <t>Прочистка и промывка: радиаторов отопления весом до 240 кг вне здания</t>
  </si>
  <si>
    <t>ТЕРр65-22-8</t>
  </si>
  <si>
    <t>Прочистка и промывка: ребристых труб вне здания</t>
  </si>
  <si>
    <t>Слив и наполнение водой системы отопления</t>
  </si>
  <si>
    <t>ТЕРр65-23-1</t>
  </si>
  <si>
    <t>Слив и наполнение водой системы отопления: без осмотра системы</t>
  </si>
  <si>
    <t>ТЕРр65-23-2</t>
  </si>
  <si>
    <t>Слив и наполнение водой системы отопления: с осмотром системы</t>
  </si>
  <si>
    <t>ТЕРр65-23-3</t>
  </si>
  <si>
    <t>Слив воды из системы</t>
  </si>
  <si>
    <t>ТЕРр65-23-4</t>
  </si>
  <si>
    <t>Осмотр отремонтированных приборов отопления при наполнении системы водой</t>
  </si>
  <si>
    <t>Проверка на прогрев отопительных приборов с регулировкой</t>
  </si>
  <si>
    <t>ТЕРр65-24-1</t>
  </si>
  <si>
    <t>Смена кранов</t>
  </si>
  <si>
    <t>ТЕРр65-25-1</t>
  </si>
  <si>
    <t>Смена: воздушных кранов радиаторов</t>
  </si>
  <si>
    <t>ТЕРр65-25-2</t>
  </si>
  <si>
    <t>Смена: пробко-спускных кранов</t>
  </si>
  <si>
    <t>ТЕРр65-25-3</t>
  </si>
  <si>
    <t>Смена: кранов двойной регулировки</t>
  </si>
  <si>
    <t>Демонтаж распределительных гребенок</t>
  </si>
  <si>
    <t>ТЕРр65-26-1</t>
  </si>
  <si>
    <t>Демонтаж распределительных гребенок диаметром корпуса: до 150 мм</t>
  </si>
  <si>
    <t>ТЕРр65-26-2</t>
  </si>
  <si>
    <t>Демонтаж распределительных гребенок диаметром корпуса: до 200 мм</t>
  </si>
  <si>
    <t>ТЕРр65-26-3</t>
  </si>
  <si>
    <t>Демонтаж распределительных гребенок диаметром корпуса: до 300 мм</t>
  </si>
  <si>
    <t>Демонтаж элеваторов и элеваторных узлов</t>
  </si>
  <si>
    <t>ТЕРр65-27-1</t>
  </si>
  <si>
    <t>Демонтаж элеваторов номер: 1-5</t>
  </si>
  <si>
    <t>ТЕРр65-27-2</t>
  </si>
  <si>
    <t>Демонтаж элеваторов номер: 6, 7</t>
  </si>
  <si>
    <t>ТЕРр65-27-3</t>
  </si>
  <si>
    <t>Демонтаж элеваторных узлов номер: 1, 2</t>
  </si>
  <si>
    <t>ТЕРр65-27-4</t>
  </si>
  <si>
    <t>Демонтаж элеваторных узлов номер: 3-5</t>
  </si>
  <si>
    <t>Комплекс работ по промывке отопительных приборов с применением пневмопистолета «Тайфун» (вне отопительного периода)</t>
  </si>
  <si>
    <t>ТЕРр65-71-1</t>
  </si>
  <si>
    <t>Комплекс работ по промывке отопительных приборов пневмопистолетом «Тайфун» (вне отопительного периода)</t>
  </si>
  <si>
    <t>Разборка вентиляционных коробов из плит</t>
  </si>
  <si>
    <t>ТЕРр65-28-1</t>
  </si>
  <si>
    <t>Разборка вентиляционных коробов из плит: одинарных</t>
  </si>
  <si>
    <t>ТЕРр65-28-2</t>
  </si>
  <si>
    <t>Разборка вентиляционных коробов из плит: двойных</t>
  </si>
  <si>
    <t>Разборка вентиляционных шахт</t>
  </si>
  <si>
    <t>ТЕРр65-29-1</t>
  </si>
  <si>
    <t>Разборка металлических воздуховодов</t>
  </si>
  <si>
    <t>ТЕРр65-30-1</t>
  </si>
  <si>
    <t>Разборка воздуховодов из листовой стали толщиной: до 0,9 мм диаметром/периметром до 165 мм /540 мм</t>
  </si>
  <si>
    <t>ТЕРр65-30-2</t>
  </si>
  <si>
    <t>Разборка воздуховодов из листовой стали толщиной: до 0,9 мм диаметром/периметром до 320 мм /1000 мм</t>
  </si>
  <si>
    <t>ТЕРр65-30-3</t>
  </si>
  <si>
    <t>Разборка воздуховодов из листовой стали толщиной: до 0,9 мм диаметром/периметром до 495 мм /1550 мм</t>
  </si>
  <si>
    <t>ТЕРр65-30-4</t>
  </si>
  <si>
    <t>Разборка воздуховодов из листовой стали толщиной: до 0,9 мм диаметром/периметром до 660 мм /2070 мм</t>
  </si>
  <si>
    <t>ТЕРр65-30-5</t>
  </si>
  <si>
    <t>Разборка воздуховодов из листовой стали толщиной: до 0,9 мм диаметром/периметром до 885 мм /2780 мм</t>
  </si>
  <si>
    <t>ТЕРр65-30-6</t>
  </si>
  <si>
    <t>Разборка воздуховодов из листовой стали толщиной: 1-2 мм диаметром/периметром до 165 мм /540 мм</t>
  </si>
  <si>
    <t>ТЕРр65-30-7</t>
  </si>
  <si>
    <t>Разборка воздуховодов из листовой стали толщиной: 1-2 мм диаметром/периметром до 320 мм /1000 мм</t>
  </si>
  <si>
    <t>ТЕРр65-30-8</t>
  </si>
  <si>
    <t>Разборка воздуховодов из листовой стали толщиной: 1-2 мм диаметром/периметром до 495 мм /1550 мм</t>
  </si>
  <si>
    <t>ТЕРр65-30-9</t>
  </si>
  <si>
    <t>Разборка воздуховодов из листовой стали толщиной: 1-2 мм диаметром/периметром до 660 мм /2070 мм</t>
  </si>
  <si>
    <t>ТЕРр65-30-10</t>
  </si>
  <si>
    <t>Разборка воздуховодов из листовой стали толщиной: 1-2 мм диаметром/периметром до 885 мм /2780 мм</t>
  </si>
  <si>
    <t>ТЕРр65-30-11</t>
  </si>
  <si>
    <t>Разборка воздуховодов из алюминия толщиной 1-2 мм диаметром/периметром: до 165 мм /540 мм</t>
  </si>
  <si>
    <t>ТЕРр65-30-12</t>
  </si>
  <si>
    <t>Разборка воздуховодов из алюминия толщиной 1-2 мм диаметром/периметром: до 320 мм /1000 мм</t>
  </si>
  <si>
    <t>ТЕРр65-30-13</t>
  </si>
  <si>
    <t>Разборка воздуховодов из алюминия толщиной 1-2 мм диаметром/периметром: до 495 мм /1550 мм</t>
  </si>
  <si>
    <t>ТЕРр65-30-14</t>
  </si>
  <si>
    <t>Разборка воздуховодов из алюминия толщиной 1-2 мм диаметром/периметром: до 660 мм /2070 мм</t>
  </si>
  <si>
    <t>ТЕРр65-30-15</t>
  </si>
  <si>
    <t>Разборка воздуховодов из алюминия толщиной 1-2 мм диаметром/периметром: до 885 мм /2780 мм</t>
  </si>
  <si>
    <t>Демонтаж осевых вентиляторов</t>
  </si>
  <si>
    <t>ТЕРр65-31-1</t>
  </si>
  <si>
    <t>Демонтаж осевых вентиляторов весом: до 0,05 т</t>
  </si>
  <si>
    <t>ТЕРр65-31-2</t>
  </si>
  <si>
    <t>Демонтаж осевых вентиляторов весом: до 0,1 т</t>
  </si>
  <si>
    <t>Демонтаж центробежных вентиляторов</t>
  </si>
  <si>
    <t>ТЕРр65-32-1</t>
  </si>
  <si>
    <t>Демонтаж центробежных вентиляторов весом: до 0,05 т</t>
  </si>
  <si>
    <t>ТЕРр65-32-2</t>
  </si>
  <si>
    <t>Демонтаж центробежных вентиляторов весом: до 0,12 т</t>
  </si>
  <si>
    <t>ТЕРр65-32-3</t>
  </si>
  <si>
    <t>Демонтаж центробежных вентиляторов весом: до 0,4 т</t>
  </si>
  <si>
    <t>ТЕРр65-32-4</t>
  </si>
  <si>
    <t>Демонтаж центробежных вентиляторов весом: до 0,6 т</t>
  </si>
  <si>
    <t>ТЕРр65-32-5</t>
  </si>
  <si>
    <t>Демонтаж центробежных вентиляторов весом: до 1,0 т</t>
  </si>
  <si>
    <t>Смена жалюзийных решеток</t>
  </si>
  <si>
    <t>ТЕРр65-33-1</t>
  </si>
  <si>
    <t>Ремонт вентиляционных коробов</t>
  </si>
  <si>
    <t>ТЕРр65-34-1</t>
  </si>
  <si>
    <t>Прочистка вентиляционных каналов</t>
  </si>
  <si>
    <t>ТЕРр65-35-1</t>
  </si>
  <si>
    <t>Снятие газовых приборов</t>
  </si>
  <si>
    <t>ТЕРр65-36-1</t>
  </si>
  <si>
    <t>Снятие бытовых газовых плит: с двумя конфорками</t>
  </si>
  <si>
    <t>ТЕРр65-36-2</t>
  </si>
  <si>
    <t>Снятие бытовых газовых плит: с четырьмя конфорками</t>
  </si>
  <si>
    <t>ТЕРр65-36-3</t>
  </si>
  <si>
    <t>Снятие: колонок</t>
  </si>
  <si>
    <t>ТЕРр65-36-4</t>
  </si>
  <si>
    <t>Снятие: счетчиков</t>
  </si>
  <si>
    <t>ТЕРр65-36-5</t>
  </si>
  <si>
    <t>Снятие: водоподогревателей</t>
  </si>
  <si>
    <t>Снятие вытяжных труб у газовых приборов</t>
  </si>
  <si>
    <t>ТЕРр65-37-1</t>
  </si>
  <si>
    <t>Снятие вытяжных труб у газовых приборов: без шибера</t>
  </si>
  <si>
    <t>ТЕРр65-37-2</t>
  </si>
  <si>
    <t>Снятие вытяжных труб у газовых приборов: с шибером</t>
  </si>
  <si>
    <t xml:space="preserve">Раздел 5. </t>
  </si>
  <si>
    <t>Смена частей канализационного стояка над кровлей</t>
  </si>
  <si>
    <t>ТЕРр65-38-1</t>
  </si>
  <si>
    <t>Смена частей канализационного стояка над кровлей: патрубка</t>
  </si>
  <si>
    <t>ТЕРр65-38-2</t>
  </si>
  <si>
    <t>Смена частей канализационного стояка над кровлей: флюгарки</t>
  </si>
  <si>
    <r>
      <t xml:space="preserve">               </t>
    </r>
    <r>
      <rPr>
        <sz val="18"/>
        <rFont val="Arial"/>
        <family val="2"/>
        <charset val="204"/>
      </rPr>
      <t>ТЕРр66</t>
    </r>
  </si>
  <si>
    <t>Разборка трубопроводов водоснабжения из чугунных труб</t>
  </si>
  <si>
    <t>ТЕРр66-1-1</t>
  </si>
  <si>
    <t>Разборка трубопроводов водоснабжения из чугунных труб диаметром: 50 мм</t>
  </si>
  <si>
    <t>ТЕРр66-1-2</t>
  </si>
  <si>
    <t>Разборка трубопроводов водоснабжения из чугунных труб диаметром: 100 мм</t>
  </si>
  <si>
    <t>ТЕРр66-1-3</t>
  </si>
  <si>
    <t>Разборка трубопроводов водоснабжения из чугунных труб диаметром: 150 мм</t>
  </si>
  <si>
    <t>ТЕРр66-1-4</t>
  </si>
  <si>
    <t>Разборка трубопроводов водоснабжения из чугунных труб диаметром: 200 мм</t>
  </si>
  <si>
    <t>ТЕРр66-1-5</t>
  </si>
  <si>
    <t>Разборка трубопроводов водоснабжения из чугунных труб диаметром: 250 мм</t>
  </si>
  <si>
    <t>Разборка трубопроводов канализации</t>
  </si>
  <si>
    <t>ТЕРр66-2-1</t>
  </si>
  <si>
    <t>Разборка трубопроводов канализации: из чугунных труб диаметром 50 мм</t>
  </si>
  <si>
    <t>ТЕРр66-2-2</t>
  </si>
  <si>
    <t>Разборка трубопроводов канализации: из чугунных труб диаметром 100 мм</t>
  </si>
  <si>
    <t>ТЕРр66-2-3</t>
  </si>
  <si>
    <t>Разборка трубопроводов канализации: из чугунных труб диаметром 150 мм</t>
  </si>
  <si>
    <t>ТЕРр66-2-4</t>
  </si>
  <si>
    <t>Разборка трубопроводов канализации: из керамических труб диаметром 150 мм</t>
  </si>
  <si>
    <t>ТЕРр66-2-5</t>
  </si>
  <si>
    <t>Разборка трубопроводов канализации: из керамических труб диаметром 200 мм</t>
  </si>
  <si>
    <t>ТЕРр66-2-6</t>
  </si>
  <si>
    <t>Разборка трубопроводов канализации: из керамических труб диаметром 250 мм</t>
  </si>
  <si>
    <t>Разборка кирпичной кладки камер, каналов, компенсаторных ниш, углов поворота вручную</t>
  </si>
  <si>
    <t>ТЕРр66-3-1</t>
  </si>
  <si>
    <t>Разборка кирпичной кладки камер, каналов, компенсаторных ниш, углов поворота вручную: без очистки кирпича</t>
  </si>
  <si>
    <t>ТЕРр66-3-2</t>
  </si>
  <si>
    <t>Разборка кирпичной кладки камер, каналов, компенсаторных ниш, углов поворота вручную: с очисткой кирпича</t>
  </si>
  <si>
    <t>Смена железобетонных подушек на дне каналов под трубопроводы</t>
  </si>
  <si>
    <t>ТЕРр66-4-1</t>
  </si>
  <si>
    <t>Восстановление бетонных стен каналов после ремонтных работ</t>
  </si>
  <si>
    <t>ТЕРр66-5-1</t>
  </si>
  <si>
    <t>Ремонт железобетонных стен каналов отдельными местами</t>
  </si>
  <si>
    <t>ТЕРр66-6-1</t>
  </si>
  <si>
    <t>Ремонт железобетонных стен каналов отдельными местами площадью: до 0,1 м2</t>
  </si>
  <si>
    <t>ТЕРр66-6-2</t>
  </si>
  <si>
    <t>Ремонт железобетонных стен каналов отдельными местами площадью: до 0,2 м2</t>
  </si>
  <si>
    <t>Ремонт штукатурки тепловых колодцев и камер</t>
  </si>
  <si>
    <t>ТЕРр66-7-1</t>
  </si>
  <si>
    <t>Демонтаж чугунных люков</t>
  </si>
  <si>
    <t>ТЕРр66-8-1</t>
  </si>
  <si>
    <t>Установка лестниц в существующих тепловых камерах</t>
  </si>
  <si>
    <t>ТЕРр66-9-1</t>
  </si>
  <si>
    <t>Установка лестниц в существующих тепловых камерах со стенами: кирпичными</t>
  </si>
  <si>
    <t>ТЕРр66-9-2</t>
  </si>
  <si>
    <t>Установка лестниц в существующих тепловых камерах со стенами: бетонными</t>
  </si>
  <si>
    <t>Очистка камер от грязи и ила</t>
  </si>
  <si>
    <t>ТЕРр66-10-1</t>
  </si>
  <si>
    <t>Очистка камер: от сухого ила и грязи при наличии труб с отключенным теплоносителем</t>
  </si>
  <si>
    <t>ТЕРр66-10-2</t>
  </si>
  <si>
    <t>Очистка камер: от сухого ила и грязи при наличии горячих труб и температуре воздуха более 40 градусов</t>
  </si>
  <si>
    <t>ТЕРр66-10-3</t>
  </si>
  <si>
    <t>Очистка камер: от сухого ила и грязи без труб и арматуры</t>
  </si>
  <si>
    <t>ТЕРр66-10-4</t>
  </si>
  <si>
    <t>Очистка камер: от мокрого ила и грязи при наличии труб с отключенным теплоносителем</t>
  </si>
  <si>
    <t>ТЕРр66-10-5</t>
  </si>
  <si>
    <t>Очистка камер: от мокрого ила и грязи при наличии горячих труб и температуре воздуха более 40 градусов</t>
  </si>
  <si>
    <t>ТЕРр66-10-6</t>
  </si>
  <si>
    <t>Очистка камер: от мокрого ила и грязи без труб и арматуры</t>
  </si>
  <si>
    <t>Очистка проходных и полупроходных каналов</t>
  </si>
  <si>
    <t>ТЕРр66-11-1</t>
  </si>
  <si>
    <t>Очистка проходных и полупроходных каналов: от сухого ила и грязи, расстояние до 4 м при снятых трубах, глубина очистки до 2 м</t>
  </si>
  <si>
    <t>ТЕРр66-11-2</t>
  </si>
  <si>
    <t>Очистка проходных и полупроходных каналов: от сухого ила и грязи, расстояние до 4 м при снятых трубах, глубина очистки до 3 м</t>
  </si>
  <si>
    <t>ТЕРр66-11-3</t>
  </si>
  <si>
    <t>Очистка проходных и полупроходных каналов: от сухого ила и грязи, расстояние до 4 м при снятых трубах, глубина очистки более 3 м</t>
  </si>
  <si>
    <t>ТЕРр66-11-4</t>
  </si>
  <si>
    <t>Очистка проходных и полупроходных каналов: от сухого ила и грязи, расстояние до 4 м при наличии труб, глубина очистки до 2 м</t>
  </si>
  <si>
    <t>ТЕРр66-11-5</t>
  </si>
  <si>
    <t>Очистка проходных и полупроходных каналов: от сухого ила и грязи, расстояние до 4 м при наличии труб, глубина очистки более 2 м</t>
  </si>
  <si>
    <t>ТЕРр66-11-6</t>
  </si>
  <si>
    <t>Очистка проходных и полупроходных каналов: от сухого ила и грязи, расстояние более 4 м при снятых трубах, глубина очистки до 2 м</t>
  </si>
  <si>
    <t>ТЕРр66-11-7</t>
  </si>
  <si>
    <t>Очистка проходных и полупроходных каналов: от сухого ила и грязи, расстояние более 4 м при снятых трубах, глубина очистки до 3 м</t>
  </si>
  <si>
    <t>ТЕРр66-11-8</t>
  </si>
  <si>
    <t>Очистка проходных и полупроходных каналов: от сухого ила и грязи, расстояние более 4 м при снятых трубах, глубина очистки более 3 м</t>
  </si>
  <si>
    <t>ТЕРр66-11-9</t>
  </si>
  <si>
    <t>Очистка проходных и полупроходных каналов: от сухого ила и грязи, расстояние более 4 м при наличии труб, глубина очистки до 2 м</t>
  </si>
  <si>
    <t>ТЕРр66-11-10</t>
  </si>
  <si>
    <t>Очистка проходных и полупроходных каналов: от сухого ила и грязи, расстояние более 4 м при наличии труб, глубина очистки более 2 м</t>
  </si>
  <si>
    <t>ТЕРр66-11-11</t>
  </si>
  <si>
    <t>Очистка проходных и полупроходных каналов: от мокрого ила и грязи, расстояние до 4 м при снятых трубах, глубина очистки до 2 м</t>
  </si>
  <si>
    <t>ТЕРр66-11-12</t>
  </si>
  <si>
    <t>Очистка проходных и полупроходных каналов: от мокрого ила и грязи, расстояние до 4 м при снятых трубах, глубина очистки до 3 м</t>
  </si>
  <si>
    <t>ТЕРр66-11-13</t>
  </si>
  <si>
    <t>Очистка проходных и полупроходных каналов: от мокрого ила и грязи, расстояние до 4 м при снятых трубах, глубина очистки более 3 м</t>
  </si>
  <si>
    <t>ТЕРр66-11-14</t>
  </si>
  <si>
    <t>Очистка проходных и полупроходных каналов: от мокрого ила и грязи, расстояние до 4 м при наличии труб, глубина очистки до 2 м</t>
  </si>
  <si>
    <t>ТЕРр66-11-15</t>
  </si>
  <si>
    <t>Очистка проходных и полупроходных каналов: от мокрого ила и грязи, расстояние до 4 м при наличии труб, глубина очистки более 2 м</t>
  </si>
  <si>
    <t>ТЕРр66-11-16</t>
  </si>
  <si>
    <t>Очистка проходных и полупроходных каналов: от мокрого ила и грязи, расстояние более 4 м при снятых трубах, глубина очистки до 2 м</t>
  </si>
  <si>
    <t>ТЕРр66-11-17</t>
  </si>
  <si>
    <t>Очистка проходных и полупроходных каналов: от мокрого ила и грязи, расстояние более 4 м при снятых трубах, глубина очистки до 3 м</t>
  </si>
  <si>
    <t>ТЕРр66-11-18</t>
  </si>
  <si>
    <t>Очистка проходных и полупроходных каналов: от мокрого ила и грязи, расстояние более 4 м при снятых трубах, глубина очистки более 3 м</t>
  </si>
  <si>
    <t>ТЕРр66-11-19</t>
  </si>
  <si>
    <t>Очистка проходных и полупроходных каналов: от мокрого ила и грязи, расстояние более 4 м при наличии труб, глубина очистки до 2 м</t>
  </si>
  <si>
    <t>ТЕРр66-11-20</t>
  </si>
  <si>
    <t>Очистка проходных и полупроходных каналов: от мокрого ила и грязи, расстояние более 4 м при наличии труб, глубина очистки более 2 м</t>
  </si>
  <si>
    <t>Очистка непроходных каналов от ила и грязи</t>
  </si>
  <si>
    <t>ТЕРр66-12-1</t>
  </si>
  <si>
    <t>Очистка непроходных каналов: от сухого ила и грязи при снятых трубах, глубина очистки до 2 м</t>
  </si>
  <si>
    <t>ТЕРр66-12-2</t>
  </si>
  <si>
    <t>Очистка непроходных каналов: от сухого ила и грязи при снятых трубах, глубина очистки более 2 м</t>
  </si>
  <si>
    <t>ТЕРр66-12-3</t>
  </si>
  <si>
    <t>Очистка непроходных каналов: от сухого ила и грязи при наличии труб, глубина очистки до 2 м</t>
  </si>
  <si>
    <t>ТЕРр66-12-4</t>
  </si>
  <si>
    <t>Очистка непроходных каналов: от сухого ила и грязи при наличии труб, глубина очистки более 2 м</t>
  </si>
  <si>
    <t>ТЕРр66-12-5</t>
  </si>
  <si>
    <t>Очистка непроходных каналов: от мокрого ила и грязи при снятых трубах, глубина очистки до 2 м</t>
  </si>
  <si>
    <t>ТЕРр66-12-6</t>
  </si>
  <si>
    <t>Очистка непроходных каналов: от мокрого ила и грязи при снятых трубах, глубина очистки более 2 м</t>
  </si>
  <si>
    <t>ТЕРр66-12-7</t>
  </si>
  <si>
    <t>Очистка непроходных каналов: от мокрого ила и грязи при наличии труб, глубина очистки до 2 м</t>
  </si>
  <si>
    <t>ТЕРр66-12-8</t>
  </si>
  <si>
    <t>Очистка непроходных каналов: от мокрого ила и грязи при наличии труб, глубина очистки более 2 м</t>
  </si>
  <si>
    <t>Проверка крепления трубопроводов</t>
  </si>
  <si>
    <t>ТЕРр66-13-1</t>
  </si>
  <si>
    <t>Проверка крепления трубопроводов: при однотрубной прокладке труб диаметром до 200 мм</t>
  </si>
  <si>
    <t>ТЕРр66-13-2</t>
  </si>
  <si>
    <t>Проверка крепления трубопроводов: при однотрубной прокладке труб диаметром до 400 мм</t>
  </si>
  <si>
    <t>ТЕРр66-13-3</t>
  </si>
  <si>
    <t>Проверка крепления трубопроводов: при однотрубной прокладке труб диаметром до 500 мм</t>
  </si>
  <si>
    <t>ТЕРр66-13-4</t>
  </si>
  <si>
    <t>Проверка крепления трубопроводов: при однотрубной прокладке труб диаметром до 700 мм</t>
  </si>
  <si>
    <t>ТЕРр66-13-5</t>
  </si>
  <si>
    <t>Проверка крепления трубопроводов: при однотрубной прокладке труб диаметром до 800 мм</t>
  </si>
  <si>
    <t>ТЕРр66-13-6</t>
  </si>
  <si>
    <t>Проверка крепления трубопроводов: при однотрубной прокладке труб диаметром до 900 мм</t>
  </si>
  <si>
    <t>ТЕРр66-13-7</t>
  </si>
  <si>
    <t>Проверка крепления трубопроводов: при однотрубной прокладке труб диаметром до 1000 мм</t>
  </si>
  <si>
    <t>ТЕРр66-13-8</t>
  </si>
  <si>
    <t>Проверка крепления трубопроводов: при однотрубной прокладке труб диаметром до 1200 мм</t>
  </si>
  <si>
    <t>ТЕРр66-13-9</t>
  </si>
  <si>
    <t>Проверка крепления трубопроводов: при однотрубной прокладке труб диаметром до 1400 мм</t>
  </si>
  <si>
    <t>ТЕРр66-13-10</t>
  </si>
  <si>
    <t>Проверка крепления трубопроводов: при двухтрубной прокладке труб диаметром до 200 мм</t>
  </si>
  <si>
    <t>ТЕРр66-13-11</t>
  </si>
  <si>
    <t>Проверка крепления трубопроводов: при двухтрубной прокладке труб диаметром до 400 мм</t>
  </si>
  <si>
    <t>ТЕРр66-13-12</t>
  </si>
  <si>
    <t>Проверка крепления трубопроводов: при двухтрубной прокладке труб диаметром до 500 мм</t>
  </si>
  <si>
    <t>ТЕРр66-13-13</t>
  </si>
  <si>
    <t>Проверка крепления трубопроводов: при двухтрубной прокладке труб диаметром до 700 мм</t>
  </si>
  <si>
    <t>ТЕРр66-13-14</t>
  </si>
  <si>
    <t>Проверка крепления трубопроводов: при двухтрубной прокладке труб диаметром до 800 мм</t>
  </si>
  <si>
    <t>ТЕРр66-13-15</t>
  </si>
  <si>
    <t>Проверка крепления трубопроводов: при двухтрубной прокладке труб диаметром до 900 мм</t>
  </si>
  <si>
    <t>ТЕРр66-13-16</t>
  </si>
  <si>
    <t>Проверка крепления трубопроводов: при двухтрубной прокладке труб диаметром до 1000 мм</t>
  </si>
  <si>
    <t>ТЕРр66-13-17</t>
  </si>
  <si>
    <t>Проверка крепления трубопроводов: при двухтрубной прокладке труб диаметром до 1200 мм</t>
  </si>
  <si>
    <t>ТЕРр66-13-18</t>
  </si>
  <si>
    <t>Проверка крепления трубопроводов: при двухтрубной прокладке труб диаметром до 1400 мм</t>
  </si>
  <si>
    <t>Вырезка и врезка контрольного участка для определения внутреннего состояния труб</t>
  </si>
  <si>
    <t>ТЕРр66-14-1</t>
  </si>
  <si>
    <t>Вырезка и врезка контрольного участка для определения внутреннего состояния труб диаметром: до 100 мм</t>
  </si>
  <si>
    <t>ТЕРр66-14-2</t>
  </si>
  <si>
    <t>Вырезка и врезка контрольного участка для определения внутреннего состояния труб диаметром: до 200 мм</t>
  </si>
  <si>
    <t>ТЕРр66-14-3</t>
  </si>
  <si>
    <t>Вырезка и врезка контрольного участка для определения внутреннего состояния труб диаметром: до 300 мм</t>
  </si>
  <si>
    <t>ТЕРр66-14-4</t>
  </si>
  <si>
    <t>Вырезка и врезка контрольного участка для определения внутреннего состояния труб диаметром: до 400 мм</t>
  </si>
  <si>
    <t>ТЕРр66-14-5</t>
  </si>
  <si>
    <t>Вырезка и врезка контрольного участка для определения внутреннего состояния труб диаметром: до 500 мм</t>
  </si>
  <si>
    <t>ТЕРр66-14-6</t>
  </si>
  <si>
    <t>Вырезка и врезка контрольного участка для определения внутреннего состояния труб диаметром: до 600 мм</t>
  </si>
  <si>
    <t>ТЕРр66-14-7</t>
  </si>
  <si>
    <t>Вырезка и врезка контрольного участка для определения внутреннего состояния труб диаметром: до 700 мм</t>
  </si>
  <si>
    <t>ТЕРр66-14-8</t>
  </si>
  <si>
    <t>Вырезка и врезка контрольного участка для определения внутреннего состояния труб диаметром: до 800 мм</t>
  </si>
  <si>
    <t>ТЕРр66-14-9</t>
  </si>
  <si>
    <t>Вырезка и врезка контрольного участка для определения внутреннего состояния труб диаметром: до 900 мм</t>
  </si>
  <si>
    <t>ТЕРр66-14-10</t>
  </si>
  <si>
    <t>Вырезка и врезка контрольного участка для определения внутреннего состояния труб диаметром: до 1000 мм</t>
  </si>
  <si>
    <t>ТЕРр66-14-11</t>
  </si>
  <si>
    <t>Вырезка и врезка контрольного участка для определения внутреннего состояния труб диаметром: до 1200 мм</t>
  </si>
  <si>
    <t>ТЕРр66-14-12</t>
  </si>
  <si>
    <t>Вырезка и врезка контрольного участка для определения внутреннего состояния труб диаметром: до 1400 мм</t>
  </si>
  <si>
    <t>Замена участков трубопроводов</t>
  </si>
  <si>
    <t>ТЕРр66-15-1</t>
  </si>
  <si>
    <t>Замена участков трубопроводов диаметром: до 100 мм</t>
  </si>
  <si>
    <t>ТЕРр66-15-2</t>
  </si>
  <si>
    <t>Замена участков трубопроводов диаметром: до 200 мм</t>
  </si>
  <si>
    <t>ТЕРр66-15-3</t>
  </si>
  <si>
    <t>Замена участков трубопроводов диаметром: до 300 мм</t>
  </si>
  <si>
    <t>ТЕРр66-15-4</t>
  </si>
  <si>
    <t>Замена участков трубопроводов диаметром: до 400 мм</t>
  </si>
  <si>
    <t>ТЕРр66-15-5</t>
  </si>
  <si>
    <t>Замена участков трубопроводов диаметром: до 500 мм</t>
  </si>
  <si>
    <t>ТЕРр66-15-6</t>
  </si>
  <si>
    <t>Замена участков трубопроводов диаметром: до 600 мм</t>
  </si>
  <si>
    <t>ТЕРр66-15-7</t>
  </si>
  <si>
    <t>Замена участков трубопроводов диаметром: до 700 мм</t>
  </si>
  <si>
    <t>ТЕРр66-15-8</t>
  </si>
  <si>
    <t>Замена участков трубопроводов диаметром: до 800 мм</t>
  </si>
  <si>
    <t>ТЕРр66-15-9</t>
  </si>
  <si>
    <t>Замена участков трубопроводов диаметром: до 900 мм</t>
  </si>
  <si>
    <t>ТЕРр66-15-10</t>
  </si>
  <si>
    <t>Замена участков трубопроводов диаметром: до 1000 мм</t>
  </si>
  <si>
    <t>ТЕРр66-15-11</t>
  </si>
  <si>
    <t>Замена участков трубопроводов диаметром: до 1200 мм</t>
  </si>
  <si>
    <t>ТЕРр66-15-12</t>
  </si>
  <si>
    <t>Замена участков трубопроводов диаметром: до 1400 мм</t>
  </si>
  <si>
    <t>Демонтаж трубопроводов в непроходных каналах</t>
  </si>
  <si>
    <t>ТЕРр66-16-1</t>
  </si>
  <si>
    <t>Демонтаж трубопроводов в непроходных каналах краном диаметром труб: до 50 мм</t>
  </si>
  <si>
    <t>ТЕРр66-16-2</t>
  </si>
  <si>
    <t>Демонтаж трубопроводов в непроходных каналах краном диаметром труб: до 80 мм</t>
  </si>
  <si>
    <t>ТЕРр66-16-3</t>
  </si>
  <si>
    <t>Демонтаж трубопроводов в непроходных каналах краном диаметром труб: до 100 мм</t>
  </si>
  <si>
    <t>ТЕРр66-16-4</t>
  </si>
  <si>
    <t>Демонтаж трубопроводов в непроходных каналах краном диаметром труб: до 150 мм</t>
  </si>
  <si>
    <t>ТЕРр66-16-5</t>
  </si>
  <si>
    <t>Демонтаж трубопроводов в непроходных каналах краном диаметром труб: до 200 мм</t>
  </si>
  <si>
    <t>ТЕРр66-16-6</t>
  </si>
  <si>
    <t>Демонтаж трубопроводов в непроходных каналах краном диаметром труб: до 250 мм</t>
  </si>
  <si>
    <t>ТЕРр66-16-7</t>
  </si>
  <si>
    <t>Демонтаж трубопроводов в непроходных каналах краном диаметром труб: до 300 мм</t>
  </si>
  <si>
    <t>ТЕРр66-16-8</t>
  </si>
  <si>
    <t>Демонтаж трубопроводов в непроходных каналах краном диаметром труб: до 400 мм</t>
  </si>
  <si>
    <t>ТЕРр66-16-9</t>
  </si>
  <si>
    <t>Демонтаж трубопроводов в непроходных каналах краном диаметром труб: до 500 мм</t>
  </si>
  <si>
    <t>ТЕРр66-16-10</t>
  </si>
  <si>
    <t>Демонтаж трубопроводов в непроходных каналах краном диаметром труб: до 600 мм</t>
  </si>
  <si>
    <t>ТЕРр66-16-11</t>
  </si>
  <si>
    <t>Демонтаж трубопроводов в непроходных каналах краном диаметром труб: до 700 мм</t>
  </si>
  <si>
    <t>ТЕРр66-16-12</t>
  </si>
  <si>
    <t>Демонтаж трубопроводов в непроходных каналах краном диаметром труб: до 800 мм</t>
  </si>
  <si>
    <t>ТЕРр66-16-13</t>
  </si>
  <si>
    <t>Демонтаж трубопроводов в непроходных каналах краном диаметром труб: до 1000 мм</t>
  </si>
  <si>
    <t>ТЕРр66-16-14</t>
  </si>
  <si>
    <t>Демонтаж трубопроводов в непроходных каналах краном диаметром труб: до 1200 мм</t>
  </si>
  <si>
    <t>ТЕРр66-16-15</t>
  </si>
  <si>
    <t>Демонтаж трубопроводов в непроходных каналах краном диаметром труб: до 1400 мм</t>
  </si>
  <si>
    <t>ТЕРр66-16-16</t>
  </si>
  <si>
    <t>Демонтаж трубопроводов в непроходных каналах с повышенной влажностью краном диаметром труб: до 50 мм</t>
  </si>
  <si>
    <t>ТЕРр66-16-17</t>
  </si>
  <si>
    <t>Демонтаж трубопроводов в непроходных каналах с повышенной влажностью краном диаметром труб: до 80 мм</t>
  </si>
  <si>
    <t>ТЕРр66-16-18</t>
  </si>
  <si>
    <t>Демонтаж трубопроводов в непроходных каналах с повышенной влажностью краном диаметром труб: до 100 мм</t>
  </si>
  <si>
    <t>ТЕРр66-16-19</t>
  </si>
  <si>
    <t>Демонтаж трубопроводов в непроходных каналах с повышенной влажностью краном диаметром труб: до 150 мм</t>
  </si>
  <si>
    <t>ТЕРр66-16-20</t>
  </si>
  <si>
    <t>Демонтаж трубопроводов в непроходных каналах с повышенной влажностью краном диаметром труб: до 200 мм</t>
  </si>
  <si>
    <t>ТЕРр66-16-21</t>
  </si>
  <si>
    <t>Демонтаж трубопроводов в непроходных каналах с повышенной влажностью краном диаметром труб: до 250 мм</t>
  </si>
  <si>
    <t>ТЕРр66-16-22</t>
  </si>
  <si>
    <t>Демонтаж трубопроводов в непроходных каналах с повышенной влажностью краном диаметром труб: до 300 мм</t>
  </si>
  <si>
    <t>ТЕРр66-16-23</t>
  </si>
  <si>
    <t>Демонтаж трубопроводов в непроходных каналах с повышенной влажностью краном диаметром труб: до 400 мм</t>
  </si>
  <si>
    <t>ТЕРр66-16-24</t>
  </si>
  <si>
    <t>Демонтаж трубопроводов в непроходных каналах с повышенной влажностью краном диаметром труб: до 500 мм</t>
  </si>
  <si>
    <t>ТЕРр66-16-25</t>
  </si>
  <si>
    <t>Демонтаж трубопроводов в непроходных каналах с повышенной влажностью краном диаметром труб: до 600 мм</t>
  </si>
  <si>
    <t>ТЕРр66-16-26</t>
  </si>
  <si>
    <t>Демонтаж трубопроводов в непроходных каналах с повышенной влажностью краном диаметром труб: до 700 мм</t>
  </si>
  <si>
    <t>ТЕРр66-16-27</t>
  </si>
  <si>
    <t>Демонтаж трубопроводов в непроходных каналах с повышенной влажностью краном диаметром труб: до 800 мм</t>
  </si>
  <si>
    <t>ТЕРр66-16-28</t>
  </si>
  <si>
    <t>Демонтаж трубопроводов в непроходных каналах с повышенной влажностью краном диаметром труб: до 1000 мм</t>
  </si>
  <si>
    <t>ТЕРр66-16-29</t>
  </si>
  <si>
    <t>Демонтаж трубопроводов в непроходных каналах с повышенной влажностью краном диаметром труб: до 1200 мм</t>
  </si>
  <si>
    <t>ТЕРр66-16-30</t>
  </si>
  <si>
    <t>Демонтаж трубопроводов в непроходных каналах с повышенной влажностью краном диаметром труб: до 1400 мм</t>
  </si>
  <si>
    <t>ТЕРр66-16-31</t>
  </si>
  <si>
    <t>Демонтаж трубопроводов в непроходных каналах с повышенной влажностью лебедкой диаметром труб: до 50 мм</t>
  </si>
  <si>
    <t>ТЕРр66-16-32</t>
  </si>
  <si>
    <t>Демонтаж трубопроводов в непроходных каналах с повышенной влажностью лебедкой диаметром труб: до 80 мм</t>
  </si>
  <si>
    <t>ТЕРр66-16-33</t>
  </si>
  <si>
    <t>Демонтаж трубопроводов в непроходных каналах с повышенной влажностью лебедкой диаметром труб: до 100 мм</t>
  </si>
  <si>
    <t>ТЕРр66-16-34</t>
  </si>
  <si>
    <t>Демонтаж трубопроводов в непроходных каналах с повышенной влажностью лебедкой диаметром труб: до 150 мм</t>
  </si>
  <si>
    <t>ТЕРр66-16-35</t>
  </si>
  <si>
    <t>Демонтаж трубопроводов в непроходных каналах с повышенной влажностью лебедкой диаметром труб: до 200 мм</t>
  </si>
  <si>
    <t>ТЕРр66-16-36</t>
  </si>
  <si>
    <t>Демонтаж трубопроводов в непроходных каналах с повышенной влажностью лебедкой диаметром труб: до 250 мм</t>
  </si>
  <si>
    <t>ТЕРр66-16-37</t>
  </si>
  <si>
    <t>Демонтаж трубопроводов в непроходных каналах с повышенной влажностью лебедкой диаметром труб: до 300 мм</t>
  </si>
  <si>
    <t>ТЕРр66-16-38</t>
  </si>
  <si>
    <t>Демонтаж трубопроводов в непроходных каналах с повышенной влажностью лебедкой диаметром труб: до 400 мм</t>
  </si>
  <si>
    <t>ТЕРр66-16-39</t>
  </si>
  <si>
    <t>Демонтаж трубопроводов в непроходных каналах с повышенной влажностью лебедкой диаметром труб: до 500 мм</t>
  </si>
  <si>
    <t>ТЕРр66-16-40</t>
  </si>
  <si>
    <t>Демонтаж трубопроводов в непроходных каналах с повышенной влажностью лебедкой диаметром труб: до 600 мм</t>
  </si>
  <si>
    <t>ТЕРр66-16-41</t>
  </si>
  <si>
    <t>Демонтаж трубопроводов в непроходных каналах с повышенной влажностью лебедкой диаметром труб: до 700 мм</t>
  </si>
  <si>
    <t>ТЕРр66-16-42</t>
  </si>
  <si>
    <t>Демонтаж трубопроводов в непроходных каналах с повышенной влажностью лебедкой диаметром труб: до 800 мм</t>
  </si>
  <si>
    <t>ТЕРр66-16-43</t>
  </si>
  <si>
    <t>Демонтаж трубопроводов в непроходных каналах с повышенной влажностью лебедкой диаметром труб: до 1000 мм</t>
  </si>
  <si>
    <t>ТЕРр66-16-44</t>
  </si>
  <si>
    <t>Демонтаж трубопроводов в непроходных каналах с повышенной влажностью лебедкой диаметром труб: до 1200 мм</t>
  </si>
  <si>
    <t>ТЕРр66-16-45</t>
  </si>
  <si>
    <t>Демонтаж трубопроводов в непроходных каналах с повышенной влажностью лебедкой диаметром труб: до 1400 мм</t>
  </si>
  <si>
    <t>ТЕРр66-16-46</t>
  </si>
  <si>
    <t>Демонтаж трубопроводов в непроходных каналах с повышенной влажностью вручную диаметром труб: до 50 мм</t>
  </si>
  <si>
    <t>ТЕРр66-16-47</t>
  </si>
  <si>
    <t>Демонтаж трубопроводов в непроходных каналах с повышенной влажностью вручную диаметром труб: до 80 мм</t>
  </si>
  <si>
    <t>ТЕРр66-16-48</t>
  </si>
  <si>
    <t>Демонтаж трубопроводов в непроходных каналах с повышенной влажностью вручную диаметром труб: до 100 мм</t>
  </si>
  <si>
    <t>ТЕРр66-16-49</t>
  </si>
  <si>
    <t>Демонтаж трубопроводов в непроходных каналах с повышенной влажностью вручную диаметром труб: до 150 мм</t>
  </si>
  <si>
    <t>Демонтаж трубопроводов в проходных каналах через окна-шурфы</t>
  </si>
  <si>
    <t>ТЕРр66-17-1</t>
  </si>
  <si>
    <t>Демонтаж трубопроводов в проходных каналах через окна-шурфы с повышенной влажностью диаметром труб: до 50 мм</t>
  </si>
  <si>
    <t>ТЕРр66-17-2</t>
  </si>
  <si>
    <t>Демонтаж трубопроводов в проходных каналах через окна-шурфы с повышенной влажностью диаметром труб: до 80 мм</t>
  </si>
  <si>
    <t>ТЕРр66-17-3</t>
  </si>
  <si>
    <t>Демонтаж трубопроводов в проходных каналах через окна-шурфы с повышенной влажностью диаметром труб: до 100 мм</t>
  </si>
  <si>
    <t>ТЕРр66-17-4</t>
  </si>
  <si>
    <t>Демонтаж трубопроводов в проходных каналах через окна-шурфы с повышенной влажностью диаметром труб: до 150 мм</t>
  </si>
  <si>
    <t>ТЕРр66-17-5</t>
  </si>
  <si>
    <t>Демонтаж трубопроводов в проходных каналах через окна-шурфы с повышенной влажностью диаметром труб: до 200 мм</t>
  </si>
  <si>
    <t>ТЕРр66-17-6</t>
  </si>
  <si>
    <t>Демонтаж трубопроводов в проходных каналах через окна-шурфы с повышенной влажностью диаметром труб: до 250 мм</t>
  </si>
  <si>
    <t>ТЕРр66-17-7</t>
  </si>
  <si>
    <t>Демонтаж трубопроводов в проходных каналах через окна-шурфы с повышенной влажностью диаметром труб: до 300 мм</t>
  </si>
  <si>
    <t>ТЕРр66-17-8</t>
  </si>
  <si>
    <t>Демонтаж трубопроводов в проходных каналах через окна-шурфы с повышенной влажностью диаметром труб: до 400 мм</t>
  </si>
  <si>
    <t>ТЕРр66-17-9</t>
  </si>
  <si>
    <t>Демонтаж трубопроводов в проходных каналах через окна-шурфы с повышенной влажностью диаметром труб: до 500 мм</t>
  </si>
  <si>
    <t>ТЕРр66-17-10</t>
  </si>
  <si>
    <t>Демонтаж трубопроводов в проходных каналах через окна-шурфы с повышенной влажностью диаметром труб: до 600 мм</t>
  </si>
  <si>
    <t>ТЕРр66-17-11</t>
  </si>
  <si>
    <t>Демонтаж трубопроводов в проходных каналах через окна-шурфы с повышенной влажностью диаметром труб: до 700 мм</t>
  </si>
  <si>
    <t>ТЕРр66-17-12</t>
  </si>
  <si>
    <t>Демонтаж трубопроводов в проходных каналах через окна-шурфы с повышенной влажностью диаметром труб: до 800 мм</t>
  </si>
  <si>
    <t>ТЕРр66-17-13</t>
  </si>
  <si>
    <t>Демонтаж трубопроводов в проходных каналах через окна-шурфы с повышенной влажностью диаметром труб: до 1000 мм</t>
  </si>
  <si>
    <t>ТЕРр66-17-14</t>
  </si>
  <si>
    <t>Демонтаж трубопроводов в проходных каналах через окна-шурфы с повышенной влажностью диаметром труб: до 1200 мм</t>
  </si>
  <si>
    <t>ТЕРр66-17-15</t>
  </si>
  <si>
    <t>Демонтаж трубопроводов в проходных каналах через окна-шурфы с повышенной влажностью диаметром труб: до 1400 мм</t>
  </si>
  <si>
    <t>ТЕРр66-17-16</t>
  </si>
  <si>
    <t>Демонтаж трубопроводов в проходных каналах через окна-шурфы диаметром труб: до 50 мм</t>
  </si>
  <si>
    <t>ТЕРр66-17-17</t>
  </si>
  <si>
    <t>Демонтаж трубопроводов в проходных каналах через окна-шурфы диаметром труб: до 80 мм</t>
  </si>
  <si>
    <t>ТЕРр66-17-18</t>
  </si>
  <si>
    <t>Демонтаж трубопроводов в проходных каналах через окна-шурфы диаметром труб: до 100 мм</t>
  </si>
  <si>
    <t>ТЕРр66-17-19</t>
  </si>
  <si>
    <t>Демонтаж трубопроводов в проходных каналах через окна-шурфы диаметром труб: до 150 мм</t>
  </si>
  <si>
    <t>ТЕРр66-17-20</t>
  </si>
  <si>
    <t>Демонтаж трубопроводов в проходных каналах через окна-шурфы диаметром труб: до 200 мм</t>
  </si>
  <si>
    <t>ТЕРр66-17-21</t>
  </si>
  <si>
    <t>Демонтаж трубопроводов в проходных каналах через окна-шурфы диаметром труб: до 250 мм</t>
  </si>
  <si>
    <t>ТЕРр66-17-22</t>
  </si>
  <si>
    <t>Демонтаж трубопроводов в проходных каналах через окна-шурфы диаметром труб: до 300 мм</t>
  </si>
  <si>
    <t>ТЕРр66-17-23</t>
  </si>
  <si>
    <t>Демонтаж трубопроводов в проходных каналах через окна-шурфы диаметром труб: до 400 мм</t>
  </si>
  <si>
    <t>ТЕРр66-17-24</t>
  </si>
  <si>
    <t>Демонтаж трубопроводов в проходных каналах через окна-шурфы диаметром труб: до 500 мм</t>
  </si>
  <si>
    <t>ТЕРр66-17-25</t>
  </si>
  <si>
    <t>Демонтаж трубопроводов в проходных каналах через окна-шурфы диаметром труб: до 600 мм</t>
  </si>
  <si>
    <t>ТЕРр66-17-26</t>
  </si>
  <si>
    <t>Демонтаж трубопроводов в проходных каналах через окна-шурфы диаметром труб: до 700 мм</t>
  </si>
  <si>
    <t>ТЕРр66-17-27</t>
  </si>
  <si>
    <t>Демонтаж трубопроводов в проходных каналах через окна-шурфы диаметром труб: до 800 мм</t>
  </si>
  <si>
    <t>ТЕРр66-17-28</t>
  </si>
  <si>
    <t>Демонтаж трубопроводов в проходных каналах через окна-шурфы диаметром труб: до 1000 мм</t>
  </si>
  <si>
    <t>ТЕРр66-17-29</t>
  </si>
  <si>
    <t>Демонтаж трубопроводов в проходных каналах через окна-шурфы диаметром труб: до 1200 мм</t>
  </si>
  <si>
    <t>ТЕРр66-17-30</t>
  </si>
  <si>
    <t>Демонтаж трубопроводов в проходных каналах через окна-шурфы диаметром труб: до 1400 мм</t>
  </si>
  <si>
    <t>Демонтаж сальниковых компенсаторов</t>
  </si>
  <si>
    <t>ТЕРр66-18-1</t>
  </si>
  <si>
    <t>Демонтаж сальниковых компенсаторов вне камер диаметром труб: до 100 мм</t>
  </si>
  <si>
    <t>ТЕРр66-18-2</t>
  </si>
  <si>
    <t>Демонтаж сальниковых компенсаторов вне камер диаметром труб: до 200 мм</t>
  </si>
  <si>
    <t>ТЕРр66-18-3</t>
  </si>
  <si>
    <t>Демонтаж сальниковых компенсаторов вне камер диаметром труб: до 300 мм</t>
  </si>
  <si>
    <t>ТЕРр66-18-4</t>
  </si>
  <si>
    <t>Демонтаж сальниковых компенсаторов вне камер диаметром труб: до 400 мм</t>
  </si>
  <si>
    <t>ТЕРр66-18-5</t>
  </si>
  <si>
    <t>Демонтаж сальниковых компенсаторов вне камер диаметром труб: до 500 мм</t>
  </si>
  <si>
    <t>ТЕРр66-18-6</t>
  </si>
  <si>
    <t>Демонтаж сальниковых компенсаторов вне камер диаметром труб: до 600 мм</t>
  </si>
  <si>
    <t>ТЕРр66-18-7</t>
  </si>
  <si>
    <t>Демонтаж сальниковых компенсаторов вне камер диаметром труб: до 700 мм</t>
  </si>
  <si>
    <t>ТЕРр66-18-8</t>
  </si>
  <si>
    <t>Демонтаж сальниковых компенсаторов вне камер диаметром труб: до 800 мм</t>
  </si>
  <si>
    <t>ТЕРр66-18-9</t>
  </si>
  <si>
    <t>Демонтаж сальниковых компенсаторов вне камер диаметром труб: до 900 мм</t>
  </si>
  <si>
    <t>ТЕРр66-18-10</t>
  </si>
  <si>
    <t>Демонтаж сальниковых компенсаторов вне камер диаметром труб: до 1000 мм</t>
  </si>
  <si>
    <t>ТЕРр66-18-11</t>
  </si>
  <si>
    <t>Демонтаж сальниковых компенсаторов вне камер диаметром труб: до 1200 мм</t>
  </si>
  <si>
    <t>ТЕРр66-18-12</t>
  </si>
  <si>
    <t>Демонтаж сальниковых компенсаторов вне камер диаметром труб: до 1400 мм</t>
  </si>
  <si>
    <t>ТЕРр66-18-13</t>
  </si>
  <si>
    <t>Демонтаж сальниковых компенсаторов в камерах диаметром труб: до 100 мм</t>
  </si>
  <si>
    <t>ТЕРр66-18-14</t>
  </si>
  <si>
    <t>Демонтаж сальниковых компенсаторов в камерах диаметром труб: до 200 мм</t>
  </si>
  <si>
    <t>ТЕРр66-18-15</t>
  </si>
  <si>
    <t>Демонтаж сальниковых компенсаторов в камерах диаметром труб: до 300 мм</t>
  </si>
  <si>
    <t>ТЕРр66-18-16</t>
  </si>
  <si>
    <t>Демонтаж сальниковых компенсаторов в камерах диаметром труб: до 400 мм</t>
  </si>
  <si>
    <t>ТЕРр66-18-17</t>
  </si>
  <si>
    <t>Демонтаж сальниковых компенсаторов в камерах диаметром труб: до 500 мм</t>
  </si>
  <si>
    <t>ТЕРр66-18-18</t>
  </si>
  <si>
    <t>Демонтаж сальниковых компенсаторов в камерах диаметром труб: до 600 мм</t>
  </si>
  <si>
    <t>ТЕРр66-18-19</t>
  </si>
  <si>
    <t>Демонтаж сальниковых компенсаторов в камерах диаметром труб: до 700 мм</t>
  </si>
  <si>
    <t>ТЕРр66-18-20</t>
  </si>
  <si>
    <t>Демонтаж сальниковых компенсаторов в камерах диаметром труб: до 800 мм</t>
  </si>
  <si>
    <t>ТЕРр66-18-21</t>
  </si>
  <si>
    <t>Демонтаж сальниковых компенсаторов в камерах диаметром труб: до 900 мм</t>
  </si>
  <si>
    <t>ТЕРр66-18-22</t>
  </si>
  <si>
    <t>Демонтаж сальниковых компенсаторов в камерах диаметром труб: до 1000 мм</t>
  </si>
  <si>
    <t>ТЕРр66-18-23</t>
  </si>
  <si>
    <t>Демонтаж сальниковых компенсаторов в камерах диаметром труб: до 1200 мм</t>
  </si>
  <si>
    <t>ТЕРр66-18-24</t>
  </si>
  <si>
    <t>Демонтаж сальниковых компенсаторов в камерах диаметром труб: до 1400 мм</t>
  </si>
  <si>
    <t>Демонтаж П-образных компенсаторов</t>
  </si>
  <si>
    <t>ТЕРр66-19-1</t>
  </si>
  <si>
    <t>Демонтаж П-образных компенсаторов диаметром труб: до 100 мм</t>
  </si>
  <si>
    <t>ТЕРр66-19-2</t>
  </si>
  <si>
    <t>Демонтаж П-образных компенсаторов диаметром труб: до 200 мм</t>
  </si>
  <si>
    <t>ТЕРр66-19-3</t>
  </si>
  <si>
    <t>Демонтаж П-образных компенсаторов диаметром труб: до 300 мм</t>
  </si>
  <si>
    <t>ТЕРр66-19-4</t>
  </si>
  <si>
    <t>Демонтаж П-образных компенсаторов диаметром труб: до 400 мм</t>
  </si>
  <si>
    <t>ТЕРр66-19-5</t>
  </si>
  <si>
    <t>Демонтаж П-образных компенсаторов диаметром труб: до 500 мм</t>
  </si>
  <si>
    <t>ТЕРр66-19-6</t>
  </si>
  <si>
    <t>Демонтаж П-образных компенсаторов диаметром труб: до 600 мм</t>
  </si>
  <si>
    <t>ТЕРр66-19-7</t>
  </si>
  <si>
    <t>Демонтаж П-образных компенсаторов диаметром труб: до 700 мм</t>
  </si>
  <si>
    <t>ТЕРр66-19-8</t>
  </si>
  <si>
    <t>Демонтаж П-образных компенсаторов диаметром труб: до 800 мм</t>
  </si>
  <si>
    <t>ТЕРр66-19-9</t>
  </si>
  <si>
    <t>Демонтаж П-образных компенсаторов диаметром труб: до 900 мм</t>
  </si>
  <si>
    <t>ТЕРр66-19-10</t>
  </si>
  <si>
    <t>Демонтаж П-образных компенсаторов диаметром труб: до 1000 мм</t>
  </si>
  <si>
    <t>ТЕРр66-19-11</t>
  </si>
  <si>
    <t>Демонтаж П-образных компенсаторов диаметром труб: до 1200 мм</t>
  </si>
  <si>
    <t>ТЕРр66-19-12</t>
  </si>
  <si>
    <t>Демонтаж П-образных компенсаторов диаметром труб: до 1400 мм</t>
  </si>
  <si>
    <t>Замена прокладок на фланцевых соединениях трубопроводов</t>
  </si>
  <si>
    <t>ТЕРр66-20-1</t>
  </si>
  <si>
    <t>Замена прокладок на фланцевых соединениях трубопроводов диаметром труб: до 100 мм</t>
  </si>
  <si>
    <t>ТЕРр66-20-2</t>
  </si>
  <si>
    <t>Замена прокладок на фланцевых соединениях трубопроводов диаметром труб: до 150 мм</t>
  </si>
  <si>
    <t>ТЕРр66-20-3</t>
  </si>
  <si>
    <t>Замена прокладок на фланцевых соединениях трубопроводов диаметром труб: до 200 мм</t>
  </si>
  <si>
    <t>ТЕРр66-20-4</t>
  </si>
  <si>
    <t>Замена прокладок на фланцевых соединениях трубопроводов диаметром труб: до 250 мм</t>
  </si>
  <si>
    <t>ТЕРр66-20-5</t>
  </si>
  <si>
    <t>Замена прокладок на фланцевых соединениях трубопроводов диаметром труб: до 300 мм</t>
  </si>
  <si>
    <t>ТЕРр66-20-6</t>
  </si>
  <si>
    <t>Замена прокладок на фланцевых соединениях трубопроводов диаметром труб: до 400 мм</t>
  </si>
  <si>
    <t>ТЕРр66-20-7</t>
  </si>
  <si>
    <t>Замена прокладок на фланцевых соединениях трубопроводов диаметром труб: до 500 мм</t>
  </si>
  <si>
    <t>ТЕРр66-20-8</t>
  </si>
  <si>
    <t>Замена прокладок на фланцевых соединениях трубопроводов диаметром труб: до 600 мм</t>
  </si>
  <si>
    <t>ТЕРр66-20-9</t>
  </si>
  <si>
    <t>Замена прокладок на фланцевых соединениях трубопроводов диаметром труб: до 700 мм</t>
  </si>
  <si>
    <t>ТЕРр66-20-10</t>
  </si>
  <si>
    <t>Замена прокладок на фланцевых соединениях трубопроводов диаметром труб: до 800 мм</t>
  </si>
  <si>
    <t>ТЕРр66-20-11</t>
  </si>
  <si>
    <t>Замена прокладок на фланцевых соединениях трубопроводов диаметром труб: до 1000 мм</t>
  </si>
  <si>
    <t>ТЕРр66-20-12</t>
  </si>
  <si>
    <t>Замена прокладок на фланцевых соединениях трубопроводов диаметром труб: до 1200 мм</t>
  </si>
  <si>
    <t>ТЕРр66-20-13</t>
  </si>
  <si>
    <t>Замена прокладок на фланцевых соединениях трубопроводов диаметром труб: до 1400 мм</t>
  </si>
  <si>
    <t>Замена набивки сальниковых компенсаторов</t>
  </si>
  <si>
    <t>ТЕРр66-21-1</t>
  </si>
  <si>
    <t>Замена набивки сальниковых компенсаторов диаметром труб: до 150 мм</t>
  </si>
  <si>
    <t>ТЕРр66-21-2</t>
  </si>
  <si>
    <t>Замена набивки сальниковых компенсаторов диаметром труб: до 250 мм</t>
  </si>
  <si>
    <t>ТЕРр66-21-3</t>
  </si>
  <si>
    <t>Замена набивки сальниковых компенсаторов диаметром труб: до 400 мм</t>
  </si>
  <si>
    <t>ТЕРр66-21-4</t>
  </si>
  <si>
    <t>Замена набивки сальниковых компенсаторов диаметром труб: до 600 мм</t>
  </si>
  <si>
    <t>ТЕРр66-21-5</t>
  </si>
  <si>
    <t>Замена набивки сальниковых компенсаторов диаметром труб: до 800 мм</t>
  </si>
  <si>
    <t>ТЕРр66-21-6</t>
  </si>
  <si>
    <t>Замена набивки сальниковых компенсаторов диаметром труб: до 1000 мм</t>
  </si>
  <si>
    <t>ТЕРр66-21-7</t>
  </si>
  <si>
    <t>Замена набивки сальниковых компенсаторов диаметром труб: до 1400 мм</t>
  </si>
  <si>
    <t>Замена люков и кирпичных горловин колодцев и камер</t>
  </si>
  <si>
    <t>ТЕРр66-22-1</t>
  </si>
  <si>
    <t>Замена люков колодцев и камер</t>
  </si>
  <si>
    <t>ТЕРр66-23-1</t>
  </si>
  <si>
    <t>Разборка тепловой изоляции</t>
  </si>
  <si>
    <t>ТЕРр66-24-1</t>
  </si>
  <si>
    <t>Разборка тепловой изоляции: из плит, сегментов и скорлуп</t>
  </si>
  <si>
    <t>ТЕРр66-24-2</t>
  </si>
  <si>
    <t>Разборка тепловой изоляции: из ваты минеральной</t>
  </si>
  <si>
    <t>ТЕРр66-24-3</t>
  </si>
  <si>
    <t>Разборка тепловой изоляции: из ваты стеклянной</t>
  </si>
  <si>
    <t>Прочистка дренажа штангами</t>
  </si>
  <si>
    <t>ТЕРр66-25-1</t>
  </si>
  <si>
    <t>Демонтаж задвижек</t>
  </si>
  <si>
    <t>ТЕРр66-26-1</t>
  </si>
  <si>
    <t>Демонтаж задвижек диаметром: до 50 мм</t>
  </si>
  <si>
    <t>ТЕРр66-26-2</t>
  </si>
  <si>
    <t>Демонтаж задвижек диаметром: до 100 мм</t>
  </si>
  <si>
    <t>ТЕРр66-26-3</t>
  </si>
  <si>
    <t>Демонтаж задвижек диаметром: до 150 мм</t>
  </si>
  <si>
    <t>ТЕРр66-26-4</t>
  </si>
  <si>
    <t>Демонтаж задвижек диаметром: до 200 мм</t>
  </si>
  <si>
    <t>ТЕРр66-26-5</t>
  </si>
  <si>
    <t>Демонтаж задвижек диаметром: до 300 мм</t>
  </si>
  <si>
    <t>ТЕРр66-26-6</t>
  </si>
  <si>
    <t>Демонтаж задвижек диаметром: до 400 мм</t>
  </si>
  <si>
    <t>ТЕРр66-26-7</t>
  </si>
  <si>
    <t>Демонтаж задвижек диаметром: до 500 мм</t>
  </si>
  <si>
    <t>ТЕРр66-26-8</t>
  </si>
  <si>
    <t>Демонтаж задвижек диаметром: до 600 мм</t>
  </si>
  <si>
    <t>ТЕРр66-26-9</t>
  </si>
  <si>
    <t>Демонтаж задвижек диаметром: до 700 мм</t>
  </si>
  <si>
    <t>ТЕРр66-26-10</t>
  </si>
  <si>
    <t>Демонтаж задвижек диаметром: до 800 мм</t>
  </si>
  <si>
    <t>ТЕРр66-26-11</t>
  </si>
  <si>
    <t>Демонтаж задвижек диаметром: до 900 мм</t>
  </si>
  <si>
    <t>ТЕРр66-26-12</t>
  </si>
  <si>
    <t>Демонтаж задвижек диаметром: до 1000 мм</t>
  </si>
  <si>
    <t>ТЕРр66-26-13</t>
  </si>
  <si>
    <t>Демонтаж задвижек диаметром: до 1200 мм</t>
  </si>
  <si>
    <t>ТЕРр66-26-14</t>
  </si>
  <si>
    <t>Демонтаж задвижек диаметром: до 1400 мм</t>
  </si>
  <si>
    <t>ВОССТАНОВЛЕНИЕ ВОДОПРОВОДНЫХ СЕТЕЙ ПО МЕТОДИКЕ «ПРОЦЕСС ФЕНИКС»</t>
  </si>
  <si>
    <t>Промывка трубопровода для последующего санирования трубопровода</t>
  </si>
  <si>
    <t>ТЕРр66-27-1</t>
  </si>
  <si>
    <t>Промывка трубопроводов для последующего санирования трубопровода диаметром: до 150 мм</t>
  </si>
  <si>
    <t>ТЕРр66-27-2</t>
  </si>
  <si>
    <t>Промывка трубопроводов для последующего санирования трубопровода диаметром: до 300 мм</t>
  </si>
  <si>
    <t>ТЕРр66-27-3</t>
  </si>
  <si>
    <t>Промывка трубопроводов для последующего санирования трубопровода диаметром: до 450 мм</t>
  </si>
  <si>
    <t>ТЕРр66-27-4</t>
  </si>
  <si>
    <t>Промывка трубопроводов для последующего санирования трубопровода диаметром: до 600 мм</t>
  </si>
  <si>
    <t>ТЕРр66-27-5</t>
  </si>
  <si>
    <t>Промывка трубопроводов для последующего санирования трубопровода диаметром: до 800 мм</t>
  </si>
  <si>
    <t>ТЕРр66-27-6</t>
  </si>
  <si>
    <t>Промывка трубопроводов для последующего санирования трубопровода диаметром: до 1000 мм</t>
  </si>
  <si>
    <t>Телевизионное инспекционное обследование трубопровода после промывки с одновременной сушкой трубопровода</t>
  </si>
  <si>
    <t>ТЕРр66-28-1</t>
  </si>
  <si>
    <t>Телевизионное инспекционное обследование трубопровода после промывки с одновременной сушкой трубопровода диаметром: до 150 мм</t>
  </si>
  <si>
    <t>ТЕРр66-28-2</t>
  </si>
  <si>
    <t>Телевизионное инспекционное обследование трубопровода после промывки с одновременной сушкой трубопровода диаметром: до 300 мм</t>
  </si>
  <si>
    <t>ТЕРр66-28-3</t>
  </si>
  <si>
    <t>Телевизионное инспекционное обследование трубопровода после промывки с одновременной сушкой трубопровода диаметром: до 450 мм</t>
  </si>
  <si>
    <t>ТЕРр66-28-4</t>
  </si>
  <si>
    <t>Телевизионное инспекционное обследование трубопровода после промывки с одновременной сушкой трубопровода диаметром: до 600 мм</t>
  </si>
  <si>
    <t>ТЕРр66-28-5</t>
  </si>
  <si>
    <t>Телевизионное инспекционное обследование трубопровода после промывки с одновременной сушкой трубопровода диаметром: до 800 мм</t>
  </si>
  <si>
    <t>ТЕРр66-28-6</t>
  </si>
  <si>
    <t>Телевизионное инспекционное обследование трубопровода после промывки с одновременной сушкой трубопровода диаметром: до 1000 мм</t>
  </si>
  <si>
    <t>Санирование трубопровода по методике «Процесс Феникс»</t>
  </si>
  <si>
    <t>ТЕРр66-29-1</t>
  </si>
  <si>
    <t>Санирование трубопровода по методике «Процесс Феникс» диаметром: до 100 мм</t>
  </si>
  <si>
    <t>ТЕРр66-29-2</t>
  </si>
  <si>
    <t>Санирование трубопровода по методике «Процесс Феникс» диаметром: до 150 мм</t>
  </si>
  <si>
    <t>ТЕРр66-29-3</t>
  </si>
  <si>
    <t>Санирование трубопровода по методике «Процесс Феникс» диаметром: до 200 мм</t>
  </si>
  <si>
    <t>ТЕРр66-29-4</t>
  </si>
  <si>
    <t>Санирование трубопровода по методике «Процесс Феникс» диаметром: до 300 мм</t>
  </si>
  <si>
    <t>ТЕРр66-29-5</t>
  </si>
  <si>
    <t>Санирование трубопровода по методике «Процесс Феникс» диаметром: до 400 мм</t>
  </si>
  <si>
    <t>ТЕРр66-29-6</t>
  </si>
  <si>
    <t>Санирование трубопровода по методике «Процесс Феникс» диаметром: до 450 мм</t>
  </si>
  <si>
    <t>ТЕРр66-29-7</t>
  </si>
  <si>
    <t>Санирование трубопровода по методике «Процесс Феникс» диаметром: до 500 мм</t>
  </si>
  <si>
    <t>ТЕРр66-29-8</t>
  </si>
  <si>
    <t>Санирование трубопровода по методике «Процесс Феникс» диаметром: до 600 мм</t>
  </si>
  <si>
    <t>ТЕРр66-29-9</t>
  </si>
  <si>
    <t>Санирование трубопровода по методике «Процесс Феникс» диаметром: до 700 мм</t>
  </si>
  <si>
    <t>ТЕРр66-29-10</t>
  </si>
  <si>
    <t>Санирование трубопровода по методике «Процесс Феникс» диаметром: до 800 мм</t>
  </si>
  <si>
    <t>ТЕРр66-29-11</t>
  </si>
  <si>
    <t>Санирование трубопровода по методике «Процесс Феникс» диаметром: до 900 мм</t>
  </si>
  <si>
    <t>ТЕРр66-29-12</t>
  </si>
  <si>
    <t>Санирование трубопровода по методике «Процесс Феникс» диаметром: до 1000 мм</t>
  </si>
  <si>
    <t>Телевизионное инспекционное обследование трубопровода после операции санирования</t>
  </si>
  <si>
    <t>ТЕРр66-30-1</t>
  </si>
  <si>
    <t>ЗАМЕНА СТАРЫХ ТРУБ ПОЛИЭТИЛЕНОВЫМИ ТРУБАМИ С ПОМОЩЬЮ ПНЕВМОПРОБОЙНИКА</t>
  </si>
  <si>
    <t>Подземное разрушение старой трубы с помощью пневмопробойника с протягиванием на ее место новой полиэтиленовой трубы</t>
  </si>
  <si>
    <t>ТЕРр66-31-1</t>
  </si>
  <si>
    <t>Бестраншейная замена труб (разрушение старой трубы с помощью пневмопробойника) полиэтиленовыми трубами с изменением диаметра: с dу 50 и 100 мм на dн 90 мм</t>
  </si>
  <si>
    <t>ТЕРр66-31-2</t>
  </si>
  <si>
    <t>Бестраншейная замена труб (разрушение старой трубы с помощью пневмопробойника) полиэтиленовыми трубами с изменением диаметра: с dу 100 мм на dн 110 мм</t>
  </si>
  <si>
    <t>ТЕРр66-31-3</t>
  </si>
  <si>
    <t>Бестраншейная замена труб (разрушение старой трубы с помощью пневмопробойника) полиэтиленовыми трубами с изменением диаметра: с dу 100 мм на dн 160 и 180 мм</t>
  </si>
  <si>
    <t>ТЕРр66-31-4</t>
  </si>
  <si>
    <t>Бестраншейная замена труб (разрушение старой трубы с помощью пневмопробойника) полиэтиленовыми трубами с изменением диаметра: с dу 150 мм на dн 160 и 180 мм</t>
  </si>
  <si>
    <t>ТЕРр66-31-5</t>
  </si>
  <si>
    <t>Бестраншейная замена труб (разрушение старой трубы с помощью пневмопробойника) полиэтиленовыми трубами с изменением диаметра: с dу 150 мм на dн 200 и 225 мм</t>
  </si>
  <si>
    <t>ТЕРр66-31-6</t>
  </si>
  <si>
    <t>Бестраншейная замена труб (разрушение старой трубы с помощью пневмопробойника) полиэтиленовыми трубами с изменением диаметра: с dу 200 мм на dн 200 и 225 мм</t>
  </si>
  <si>
    <t>ТЕРр66-31-7</t>
  </si>
  <si>
    <t>Бестраншейная замена труб (разрушение старой трубы с помощью пневмопробойника) полиэтиленовыми трубами с изменением диаметра: с dу 200 мм на dн 250 мм</t>
  </si>
  <si>
    <t>ТЕРр66-31-8</t>
  </si>
  <si>
    <t>Бестраншейная замена труб (разрушение старой трубы с помощью пневмопробойника) полиэтиленовыми трубами с изменением диаметра: с dу 250 мм на dн 250 мм</t>
  </si>
  <si>
    <t>ТЕРр66-31-9</t>
  </si>
  <si>
    <t>Бестраншейная замена труб (разрушение старой трубы с помощью пневмопробойника) полиэтиленовыми трубами с изменением диаметра: с dу 250 мм на dн 315 мм</t>
  </si>
  <si>
    <t>ТЕРр66-31-10</t>
  </si>
  <si>
    <t>Бестраншейная замена труб (разрушение старой трубы с помощью пневмопробойника) полиэтиленовыми трубами с изменением диаметра: с dу 300 мм на dн 315 мм</t>
  </si>
  <si>
    <t>ТЕРр66-31-11</t>
  </si>
  <si>
    <t>Бестраншейная замена труб (разрушение старой трубы с помощью пневмопробойника) полиэтиленовыми трубами с изменением диаметра: с dу 300 мм на dн 355 мм</t>
  </si>
  <si>
    <t>ТЕРр66-31-12</t>
  </si>
  <si>
    <t>Бестраншейная замена труб (разрушение старой трубы с помощью пневмопробойника) полиэтиленовыми трубами с изменением диаметра: с dу 350 мм на dн 355 мм</t>
  </si>
  <si>
    <t>ТЕРр66-31-13</t>
  </si>
  <si>
    <t>Бестраншейная замена труб (разрушение старой трубы с помощью пневмопробойника) полиэтиленовыми трубами с изменением диаметра: с dу 350 мм на dн 400 мм</t>
  </si>
  <si>
    <t>ТЕРр66-31-14</t>
  </si>
  <si>
    <t>Бестраншейная замена труб (разрушение старой трубы с помощью пневмопробойника) полиэтиленовыми трубами с изменением диаметра: с dу 400 мм на dн 400 мм</t>
  </si>
  <si>
    <t>ТЕРр66-31-15</t>
  </si>
  <si>
    <t>Бестраншейная замена труб (разрушение старой трубы с помощью пневмопробойника) полиэтиленовыми трубами с изменением диаметра: с dу 400 мм на dн 450 мм</t>
  </si>
  <si>
    <t>Протаскивание водопроводной полиэтиленовой трубы в существующую без разрушения с помощью пневмопробойника</t>
  </si>
  <si>
    <t>ТЕРр66-32-1</t>
  </si>
  <si>
    <t>Бестраншейная замена труб (без разрушение старой трубы с помощью пневмопробойника) полиэтиленовыми трубами с изменением диаметра: с dу 100 мм на dн 75 мм</t>
  </si>
  <si>
    <t>ТЕРр66-32-2</t>
  </si>
  <si>
    <t>Бестраншейная замена труб (без разрушение старой трубы с помощью пневмопробойника) полиэтиленовыми трубами с изменением диаметра: с dу 150 мм на dн 110 мм</t>
  </si>
  <si>
    <t>ТЕРр66-32-3</t>
  </si>
  <si>
    <t>Бестраншейная замена труб (без разрушение старой трубы с помощью пневмопробойника) полиэтиленовыми трубами с изменением диаметра: с dу 200 мм на dн 160 мм</t>
  </si>
  <si>
    <t>ТЕРр66-32-4</t>
  </si>
  <si>
    <t>Бестраншейная замена труб (без разрушение старой трубы с помощью пневмопробойника) полиэтиленовыми трубами с изменением диаметра: с dу 250 мм на dн 200 мм</t>
  </si>
  <si>
    <t>ТЕРр66-32-5</t>
  </si>
  <si>
    <t>Бестраншейная замена труб (без разрушение старой трубы с помощью пневмопробойника) полиэтиленовыми трубами с изменением диаметра: с dу 300 мм на dн 225 мм</t>
  </si>
  <si>
    <t>ТЕРр66-32-6</t>
  </si>
  <si>
    <t>Бестраншейная замена труб (без разрушение старой трубы с помощью пневмопробойника) полиэтиленовыми трубами с изменением диаметра: с dу 350 мм на dн 315 мм</t>
  </si>
  <si>
    <t>ТЕРр66-32-7</t>
  </si>
  <si>
    <t>Бестраншейная замена труб (без разрушение старой трубы с помощью пневмопробойника) полиэтиленовыми трубами с изменением диаметра: с dу 400 мм на dн 315 мм</t>
  </si>
  <si>
    <t>ТЕРр66-32-8</t>
  </si>
  <si>
    <t>Бестраншейная замена труб (без разрушение старой трубы с помощью пневмопробойника) полиэтиленовыми трубами с изменением диаметра: с dу 450 мм на dн 355 мм</t>
  </si>
  <si>
    <t>ТЕРр66-32-9</t>
  </si>
  <si>
    <t>Бестраншейная замена труб (без разрушение старой трубы с помощью пневмопробойника) полиэтиленовыми трубами с изменением диаметра: с dу 500 мм на dн 400 мм</t>
  </si>
  <si>
    <t>ТЕРр66-32-10</t>
  </si>
  <si>
    <t>Бестраншейная замена труб (без разрушение старой трубы с помощью пневмопробойника) полиэтиленовыми трубами с изменением диаметра: с dу 600 мм на dн 500 мм</t>
  </si>
  <si>
    <t>ТЕРр66-32-11</t>
  </si>
  <si>
    <t>Бестраншейная замена труб (без разрушение старой трубы с помощью пневмопробойника) полиэтиленовыми трубами с изменением диаметра: с dу 700 мм на dн 560 мм</t>
  </si>
  <si>
    <t>ТЕРр66-32-12</t>
  </si>
  <si>
    <t>Бестраншейная замена труб (без разрушение старой трубы с помощью пневмопробойника) полиэтиленовыми трубами с изменением диаметра: с dу 750 мм на dн 630 мм</t>
  </si>
  <si>
    <t>ТЕРр66-32-13</t>
  </si>
  <si>
    <t>Бестраншейная замена труб (без разрушение старой трубы с помощью пневмопробойника) полиэтиленовыми трубами с изменением диаметра: с dу 800 мм на dн 710 мм</t>
  </si>
  <si>
    <t>ТЕРр66-32-14</t>
  </si>
  <si>
    <t>Бестраншейная замена труб (без разрушение старой трубы с помощью пневмопробойника) полиэтиленовыми трубами с изменением диаметра: с dу 900 мм на dн 800 мм</t>
  </si>
  <si>
    <t>ТЕРр66-32-15</t>
  </si>
  <si>
    <t>Бестраншейная замена труб (без разрушение старой трубы с помощью пневмопробойника) полиэтиленовыми трубами с изменением диаметра: с dу 1000 мм на dн 900 мм</t>
  </si>
  <si>
    <t>ТЕРр66-32-16</t>
  </si>
  <si>
    <t>Бестраншейная замена труб (без разрушение старой трубы с помощью пневмопробойника) полиэтиленовыми трубами с изменением диаметра: с dу 1200 мм на dн 1000 мм</t>
  </si>
  <si>
    <t>ОБЛИЦОВКА КОЛОДЦЕВ ПОЛИЭТИЛЕНОМ</t>
  </si>
  <si>
    <t>Облицовка колодцев методом «TROLINING»</t>
  </si>
  <si>
    <t>ТЕРр66-33-1</t>
  </si>
  <si>
    <t>Восстановление колодцев методом «TROLINING» при диаметре колодцев: 1,0 м и высоте 1,0 м</t>
  </si>
  <si>
    <t>ТЕРр66-33-2</t>
  </si>
  <si>
    <t>Восстановление колодцев методом «TROLINING» при диаметре колодцев: 1,0 м и высоте 2,5 м</t>
  </si>
  <si>
    <t>ТЕРр66-33-3</t>
  </si>
  <si>
    <t>Восстановление колодцев методом «TROLINING» при диаметре колодцев: 1,0 м и высоте 3,0 м</t>
  </si>
  <si>
    <t>ТЕРр66-33-4</t>
  </si>
  <si>
    <t>Восстановление колодцев методом «TROLINING» при диаметре колодцев: 1,5 м и высоте 4,0 м</t>
  </si>
  <si>
    <t>ТЕРр66-33-5</t>
  </si>
  <si>
    <t>Восстановление колодцев методом «TROLINING» при диаметре колодцев: 1,5 м и высоте 5,0 м</t>
  </si>
  <si>
    <t>ТЕРр66-33-6</t>
  </si>
  <si>
    <t>Восстановление колодцев методом «TROLINING» при диаметре колодцев: 1,5 м и высоте 6,0 м</t>
  </si>
  <si>
    <t>Облицовка колодцев полиэтиленовыми трубами</t>
  </si>
  <si>
    <t>ТЕРр66-34-1</t>
  </si>
  <si>
    <t>Облицовка колодцев полиэтиленовыми трубами при диаметре колодцев: 1,0 м и высоте 1,0 м</t>
  </si>
  <si>
    <t>ТЕРр66-34-2</t>
  </si>
  <si>
    <t>Облицовка колодцев полиэтиленовыми трубами при диаметре колодцев: 1,0 м и высоте 2,5 м</t>
  </si>
  <si>
    <t>ТЕРр66-34-3</t>
  </si>
  <si>
    <t>Облицовка колодцев полиэтиленовыми трубами при диаметре колодцев: 1,0 м и высоте 3,0 м</t>
  </si>
  <si>
    <t>ТЕРр66-34-4</t>
  </si>
  <si>
    <t>Облицовка колодцев полиэтиленовыми трубами при диаметре колодцев: 1,5 м и высоте 4,0 м</t>
  </si>
  <si>
    <t>ТЕРр66-34-5</t>
  </si>
  <si>
    <t>Облицовка колодцев полиэтиленовыми трубами при диаметре колодцев: 1,5 м и высоте 5,0 м</t>
  </si>
  <si>
    <t>ТЕРр66-34-6</t>
  </si>
  <si>
    <t>Облицовка колодцев полиэтиленовыми трубами при диаметре колодцев: 1,5 м и высоте 6,0 м</t>
  </si>
  <si>
    <t>ПЕРЕКРЫТИЕ УЧАСТКОВ КАНАЛИЗАЦИОННЫХ СЕТЕЙ С ПОМОЩЬЮ ПНЕВМОЗАГЛУШЕК</t>
  </si>
  <si>
    <t>Очистка участка трубы под заглушку</t>
  </si>
  <si>
    <t>ТЕРр66-35-1</t>
  </si>
  <si>
    <t>Очистка под заглушку участка трубы диаметром: до 600 мм</t>
  </si>
  <si>
    <t>ТЕРр66-35-2</t>
  </si>
  <si>
    <t>Очистка под заглушку участка трубы диаметром: 600-900 мм</t>
  </si>
  <si>
    <t>ТЕРр66-35-3</t>
  </si>
  <si>
    <t>Очистка под заглушку участка трубы диаметром: 1000-1400 мм</t>
  </si>
  <si>
    <t>Монтаж и демонтаж резинокордной пневмозаглушки</t>
  </si>
  <si>
    <t>ТЕРр66-36-1</t>
  </si>
  <si>
    <t>Монтаж и демонтаж резинокордной пневмозаглушки диаметром: 100-200 мм</t>
  </si>
  <si>
    <t>ТЕРр66-36-2</t>
  </si>
  <si>
    <t>Монтаж и демонтаж резинокордной пневмозаглушки диаметром: 200-400 мм</t>
  </si>
  <si>
    <t>ТЕРр66-36-3</t>
  </si>
  <si>
    <t>Монтаж и демонтаж резинокордной пневмозаглушки диаметром: 400-600 мм</t>
  </si>
  <si>
    <t>ТЕРр66-36-4</t>
  </si>
  <si>
    <t>Монтаж и демонтаж резинокордной пневмозаглушки диаметром: 600-800 мм</t>
  </si>
  <si>
    <t>ТЕРр66-36-5</t>
  </si>
  <si>
    <t>Монтаж и демонтаж резинокордной пневмозаглушки диаметром: 800-1200 мм</t>
  </si>
  <si>
    <t>ТЕРр66-36-6</t>
  </si>
  <si>
    <t>Контроль поддержания заглушки в сутки</t>
  </si>
  <si>
    <t>БЕСТРАНШЕЙНАЯ ЗАМЕНА КАНАЛИЗАЦИОННЫХ ТРУБОПРОВОДОВ</t>
  </si>
  <si>
    <t>Бестраншейная замена канализационных трубопроводов укороченными патрубками с помощью пневмопробойника</t>
  </si>
  <si>
    <t>ТЕРр66-37-1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</si>
  <si>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диаметра: dу 100 мм на dн 225 мм</t>
  </si>
  <si>
    <t>ТЕРр66-37-2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</si>
  <si>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диаметра: dу 230 мм на dн 315 мм</t>
  </si>
  <si>
    <t>ТЕРр66-37-3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</si>
  <si>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диаметра: dу 230 мм на dн 225 мм</t>
  </si>
  <si>
    <t>ТЕРр66-37-4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</si>
  <si>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диаметра: большего на меньший диаметр трубы</t>
  </si>
  <si>
    <t>ТЕРр66-37-5</t>
  </si>
  <si>
    <t>На каждый дополнительный колодец сверх двух добавлять к расценкам 66-37-1, 66-37-2, 66-37-3, 66-37-4</t>
  </si>
  <si>
    <t>Заполнение упраздняемых трубопроводов или межтрубного пространства при трубах в футляре песком, бетоном, раствором</t>
  </si>
  <si>
    <t>ТЕРр66-38-1</t>
  </si>
  <si>
    <t>Заполнение трубопроводов или межтрубного пространства при трубах в футляре: песком</t>
  </si>
  <si>
    <t>ТЕРр66-38-2</t>
  </si>
  <si>
    <t>Заполнение трубопроводов или межтрубного пространства при трубах в футляре: бетоном</t>
  </si>
  <si>
    <t>ТЕРр66-38-3</t>
  </si>
  <si>
    <t>Заполнение трубопроводов или межтрубного пространства при трубах в футляре: цементным раствором</t>
  </si>
  <si>
    <t>Бестраншейная замена канализационных трубопроводов укороченными патрубками «ВИП-ЛАЙ НЕР» с помощью пневмопробойника</t>
  </si>
  <si>
    <t>ТЕРр66-39-1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</si>
  <si>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диаметра: dу 150 мм на dн 200 мм</t>
  </si>
  <si>
    <t>ТЕРр66-39-2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</si>
  <si>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диаметра: dу 150 мм на dн 225 мм; dу 200 мм на dн 280 мм</t>
  </si>
  <si>
    <t>ТЕРр66-39-3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</si>
  <si>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диаметра: dу 230 мм на dн 250 мм; dу 250 мм на dн 280 мм</t>
  </si>
  <si>
    <t>ТЕРр66-39-4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</si>
  <si>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диаметра: dу 230 мм на dн 280 мм; dу 200 мм на dн 250 мм; dу 250 мм на dн 315 мм</t>
  </si>
  <si>
    <t>ТЕРр66-39-5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</si>
  <si>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диаметра: dу 300 мм на dн 315 мм</t>
  </si>
  <si>
    <t>ТЕРр66-39-6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</si>
  <si>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диаметра: dу 350 мм на dн 355 мм</t>
  </si>
  <si>
    <t>ТЕРр66-39-7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</si>
  <si>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диаметра: большего на меньший диаметр трубы</t>
  </si>
  <si>
    <t>Бестраншейное восстановление канализационных трубопроводов методом «ФЛЕКСОРЕН»</t>
  </si>
  <si>
    <t>ТЕРр66-40-1</t>
  </si>
  <si>
    <t>Бестраншейная замена трубопроводов трубами «ФЛЕКСОРЕН» диаметром 140-270 мм</t>
  </si>
  <si>
    <t>Восстановление канализационных трубопроводов методом «ИНСИТУФОРМ»</t>
  </si>
  <si>
    <t>ТЕРр66-41-1</t>
  </si>
  <si>
    <t>Восстановление канализационных трубопроводов методом «ИНСИТУФОРМ» диаметром: 300 мм</t>
  </si>
  <si>
    <t>ТЕРр66-41-2</t>
  </si>
  <si>
    <t>Восстановление канализационных трубопроводов методом «ИНСИТУФОРМ» диаметром: 350 мм</t>
  </si>
  <si>
    <t>ТЕРр66-41-3</t>
  </si>
  <si>
    <t>Восстановление канализационных трубопроводов методом «ИНСИТУФОРМ» диаметром: 375 мм</t>
  </si>
  <si>
    <t>ТЕРр66-41-4</t>
  </si>
  <si>
    <t>Восстановление канализационных трубопроводов методом «ИНСИТУФОРМ» диаметром: 400 мм</t>
  </si>
  <si>
    <t>ТЕРр66-41-5</t>
  </si>
  <si>
    <t>Восстановление канализационных трубопроводов методом «ИНСИТУФОРМ» диаметром: 450 мм</t>
  </si>
  <si>
    <t>ТЕРр66-41-6</t>
  </si>
  <si>
    <t>Восстановление канализационных трубопроводов методом «ИНСИТУФОРМ» диаметром: 500 мм</t>
  </si>
  <si>
    <t>ТЕРр66-41-7</t>
  </si>
  <si>
    <t>Восстановление канализационных трубопроводов методом «ИНСИТУФОРМ» диаметром: 600 мм</t>
  </si>
  <si>
    <t>ТЕРр66-41-8</t>
  </si>
  <si>
    <t>Восстановление канализационных трубопроводов методом «ИНСИТУФОРМ» диаметром: 700 мм</t>
  </si>
  <si>
    <t>ТЕРр66-41-9</t>
  </si>
  <si>
    <t>Восстановление канализационных трубопроводов методом «ИНСИТУФОРМ» диаметром: 800 мм</t>
  </si>
  <si>
    <t>ТЕРр66-41-10</t>
  </si>
  <si>
    <t>Восстановление канализационных трубопроводов методом «ИНСИТУФОРМ» диаметром: 900 мм</t>
  </si>
  <si>
    <t>ТЕРр66-41-11</t>
  </si>
  <si>
    <t>Восстановление канализационных трубопроводов методом «ИНСИТУФОРМ» диаметром: 1000 мм</t>
  </si>
  <si>
    <t>ТЕРр66-41-12</t>
  </si>
  <si>
    <t>Восстановление канализационных трубопроводов методом «ИНСИТУФОРМ» диаметром: 1200 мм</t>
  </si>
  <si>
    <t>ТЕРр66-41-13</t>
  </si>
  <si>
    <t>Восстановление канализационных трубопроводов методом «ИНСИТУФОРМ» диаметром: 1500 мм</t>
  </si>
  <si>
    <t>Бестраншейная замена канализационных трубопроводов на пластмассовые методом «ГРУНДОКРАК»</t>
  </si>
  <si>
    <t>ТЕРр66-42-1</t>
  </si>
  <si>
    <t>Бестраншейная замена методом «ГРУНДОКРАК» канализационных трубопроводов на пластмассовые диаметром: до 250 мм</t>
  </si>
  <si>
    <t>ТЕРр66-42-2</t>
  </si>
  <si>
    <t>Бестраншейная замена методом «ГРУНДОКРАК» канализационных трубопроводов на пластмассовые диаметром: 315 мм</t>
  </si>
  <si>
    <t>ТЕРр66-42-3</t>
  </si>
  <si>
    <t>Бестраншейная замена методом «ГРУНДОКРАК» канализационных трубопроводов на пластмассовые диаметром: 355-450 мм</t>
  </si>
  <si>
    <t>ТЕРр66-42-4</t>
  </si>
  <si>
    <t>Бестраншейная замена методом «ГРУНДОКРАК» канализационных трубопроводов на пластмассовые диаметром: 560-630 мм</t>
  </si>
  <si>
    <t>ТЕРр66-42-5</t>
  </si>
  <si>
    <t>Бестраншейная замена методом «ГРУНДОКРАК» канализационных трубопроводов на пластмассовые диаметром: 710-1200 мм</t>
  </si>
  <si>
    <t>Промывка канализационных сетей спецмашинами «СКАНИЯ» и «SISU»</t>
  </si>
  <si>
    <t>ТЕРр66-43-1</t>
  </si>
  <si>
    <t>Промывка спецмашинами «СКАНИЯ» и «SISU» канализационных трубопроводов диаметром: 150-250 мм</t>
  </si>
  <si>
    <t>ТЕРр66-43-2</t>
  </si>
  <si>
    <t>Промывка спецмашинами «СКАНИЯ» и «SISU» канализационных трубопроводов диаметром: 300 мм</t>
  </si>
  <si>
    <t>ТЕРр66-43-3</t>
  </si>
  <si>
    <t>Промывка спецмашинами «СКАНИЯ» и «SISU» канализационных трубопроводов диаметром: 400 мм</t>
  </si>
  <si>
    <t>ТЕРр66-43-4</t>
  </si>
  <si>
    <t>Промывка спецмашинами «СКАНИЯ» и «SISU» канализационных трубопроводов диаметром: 500 мм</t>
  </si>
  <si>
    <t>ТЕРр66-43-5</t>
  </si>
  <si>
    <t>Промывка спецмашинами «СКАНИЯ» и «SISU» канализационных трубопроводов диаметром: 600 мм</t>
  </si>
  <si>
    <t>ТЕРр66-43-6</t>
  </si>
  <si>
    <t>Промывка спецмашинами «СКАНИЯ» и «SISU» канализационных трубопроводов диаметром: 700 мм</t>
  </si>
  <si>
    <t>ТЕРр66-43-7</t>
  </si>
  <si>
    <t>Промывка спецмашинами «СКАНИЯ» и «SISU» канализационных трубопроводов диаметром: 800 мм</t>
  </si>
  <si>
    <t>ТЕРр66-43-8</t>
  </si>
  <si>
    <t>Промывка спецмашинами «СКАНИЯ» и «SISU» канализационных трубопроводов диаметром: 900 мм</t>
  </si>
  <si>
    <t>ТЕРр66-43-9</t>
  </si>
  <si>
    <t>Промывка спецмашинами «СКАНИЯ» и «SISU» канализационных трубопроводов диаметром: 1000 мм</t>
  </si>
  <si>
    <t>ТЕРр66-43-10</t>
  </si>
  <si>
    <t>Промывка спецмашинами «СКАНИЯ» и «SISU» канализационных трубопроводов диаметром: 1200 мм</t>
  </si>
  <si>
    <t>Восстановление канализационных колодцев методом «TROLINING»</t>
  </si>
  <si>
    <t>ТЕРр66-44-1</t>
  </si>
  <si>
    <t>Восстановление канализационных колодцев методом «TROLINING» при диаметре колодцев: 1,0 м и высоте 1,0 м</t>
  </si>
  <si>
    <t>ТЕРр66-44-2</t>
  </si>
  <si>
    <t>Восстановление канализационных колодцев методом «TROLINING» при диаметре колодцев: 1,0 м и высоте 2,5 м</t>
  </si>
  <si>
    <t>ТЕРр66-44-3</t>
  </si>
  <si>
    <t>Восстановление канализационных колодцев методом «TROLINING» при диаметре колодцев: 1,0 м и высоте 3,0 м</t>
  </si>
  <si>
    <t>ТЕРр66-44-4</t>
  </si>
  <si>
    <t>Восстановление канализационных колодцев методом «TROLINING» при диаметре колодцев: 1,5 м и высоте 4,0 м</t>
  </si>
  <si>
    <t>ТЕРр66-44-5</t>
  </si>
  <si>
    <t>Восстановление канализационных колодцев методом «TROLINING» при диаметре колодцев: 1,5 м и высоте 5,0 м</t>
  </si>
  <si>
    <t>ТЕРр66-44-6</t>
  </si>
  <si>
    <t>Восстановление канализационных колодцев методом «TROLINING» при диаметре колодцев: 1,5 м и высоте 6,0 м</t>
  </si>
  <si>
    <t>Восстановление канализационных колодцев полиэтиленовыми трубами</t>
  </si>
  <si>
    <t>ТЕРр66-45-1</t>
  </si>
  <si>
    <t>Восстановление канализационных колодцев полиэтиленовыми трубами при диаметре колодцев: 1,0 м и высоте 1,0 м</t>
  </si>
  <si>
    <t>ТЕРр66-45-2</t>
  </si>
  <si>
    <t>Восстановление канализационных колодцев полиэтиленовыми трубами при диаметре колодцев: 1,0 м и высоте 2,5 м</t>
  </si>
  <si>
    <t>ТЕРр66-45-3</t>
  </si>
  <si>
    <t>Восстановление канализационных колодцев полиэтиленовыми трубами при диаметре колодцев: 1,0 м и высоте 3,0 м</t>
  </si>
  <si>
    <t>ТЕРр66-45-4</t>
  </si>
  <si>
    <t>Восстановление канализационных колодцев полиэтиленовыми трубами при диаметре колодцев: 1,5 м и высоте 4,0 м</t>
  </si>
  <si>
    <t>ТЕРр66-45-5</t>
  </si>
  <si>
    <t>Восстановление канализационных колодцев полиэтиленовыми трубами при диаметре колодцев: 1,5 м и высоте 5,0 м</t>
  </si>
  <si>
    <t>ТЕРр66-45-6</t>
  </si>
  <si>
    <t>Восстановление канализационных колодцев полиэтиленовыми трубами при диаметре колодцев: 1,5 м и высоте 6,0 м</t>
  </si>
  <si>
    <t>Крепление траншей с помощью крепежных блоков</t>
  </si>
  <si>
    <t>ТЕРр66-46-1</t>
  </si>
  <si>
    <t>Крепление траншей с помощью блоков размерами: 3,5х2,4+3,5х1,3</t>
  </si>
  <si>
    <t>ТЕРр66-46-2</t>
  </si>
  <si>
    <t>Крепление траншей с помощью блоков размерами: 4,0х2,4+4,0х1,3</t>
  </si>
  <si>
    <t>Санация внутренней поверхности стальных труб водопроводных сетей методом нанесения цементно-песчаного раствора</t>
  </si>
  <si>
    <t>ТЕРр66-47-1</t>
  </si>
  <si>
    <t>Санация внутренней поверхности стальных труб водопроводных сетей методом нанесения цементно-песчаного раствора, диаметром: до 200 мм</t>
  </si>
  <si>
    <t>ТЕРр66-47-2</t>
  </si>
  <si>
    <t>Санация внутренней поверхности стальных труб водопроводных сетей методом нанесения цементно-песчаного раствора, диаметром: до 300 мм</t>
  </si>
  <si>
    <t>ТЕРр66-47-3</t>
  </si>
  <si>
    <t>Санация внутренней поверхности стальных труб водопроводных сетей методом нанесения цементно-песчаного раствора, диаметром: до 600 мм</t>
  </si>
  <si>
    <t>ТЕРр66-47-4</t>
  </si>
  <si>
    <t>Санация внутренней поверхности стальных труб водопроводных сетей методом нанесения цементно-песчаного раствора, диаметром: до 900 мм</t>
  </si>
  <si>
    <t>ТЕРр66-47-5</t>
  </si>
  <si>
    <t>Санация внутренней поверхности стальных труб водопроводных сетей методом нанесения цементно-песчаного раствора, диаметром: до 1200 мм</t>
  </si>
  <si>
    <t>ТЕРр66-47-6</t>
  </si>
  <si>
    <t>Санация внутренней поверхности стальных труб водопроводных сетей методом нанесения цементно-песчаного раствора, диаметром: до 1400 мм</t>
  </si>
  <si>
    <t>Восстановление внутренних поверхностей канализационных колодцев нанесением цементно-песчаной гидроизоляции</t>
  </si>
  <si>
    <t>ТЕРр66-48-1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</si>
  <si>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диаметре: 1,0 м и высоте 1,0 м</t>
  </si>
  <si>
    <t>ТЕРр66-48-2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</si>
  <si>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диаметре: 1,5 м и высоте 1,0 м</t>
  </si>
  <si>
    <t>ТЕРр66-48-3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</si>
  <si>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диаметре: 2 м и высоте 1,0 м</t>
  </si>
  <si>
    <t>ТЕРр66-48-4</t>
  </si>
  <si>
    <t>При изменении высоты колодца на 0,5 м добавлять или исключать: к расценке 66-48-1</t>
  </si>
  <si>
    <t>ТЕРр66-48-5</t>
  </si>
  <si>
    <t>При изменении высоты колодца на 0,5 м добавлять или исключать: к расценке 66-48-2</t>
  </si>
  <si>
    <t>ТЕРр66-48-6</t>
  </si>
  <si>
    <t>При изменении высоты колодца на 0,5 м добавлять или исключать: к расценке 66-48-3</t>
  </si>
  <si>
    <t>Заделка трещин, раковин и сколов оголовков труб</t>
  </si>
  <si>
    <t>ТЕРр66-49-1</t>
  </si>
  <si>
    <t>Замена стальных трубопроводов теплоснабжения, горячего и холодного водоснабжения в закрытых проходных эксплуатируемых коллекторах</t>
  </si>
  <si>
    <t>ТЕРр66-50-1</t>
  </si>
  <si>
    <t>Замена стальных трубопроводов теплоснабжения, горячего и холодного водоснабжения, диаметр труб, мм: 100</t>
  </si>
  <si>
    <t>ТЕРр66-50-2</t>
  </si>
  <si>
    <t>Замена стальных трубопроводов теплоснабжения, горячего и холодного водоснабжения, диаметр труб, мм: 150</t>
  </si>
  <si>
    <t>ТЕРр66-50-3</t>
  </si>
  <si>
    <t>Замена стальных трубопроводов теплоснабжения, горячего и холодного водоснабжения, диаметр труб, мм: 200</t>
  </si>
  <si>
    <t>ТЕРр66-50-4</t>
  </si>
  <si>
    <t>Замена стальных трубопроводов теплоснабжения, горячего и холодного водоснабжения, диаметр труб, мм: 250</t>
  </si>
  <si>
    <t>ТЕРр66-50-5</t>
  </si>
  <si>
    <t>Замена стальных трубопроводов теплоснабжения, горячего и холодного водоснабжения, диаметр труб, мм: 300</t>
  </si>
  <si>
    <t>ТЕРр66-50-6</t>
  </si>
  <si>
    <t>Замена стальных трубопроводов теплоснабжения, горячего и холодного водоснабжения, диаметр труб, мм: 350</t>
  </si>
  <si>
    <t>ТЕРр66-50-7</t>
  </si>
  <si>
    <t>Замена стальных трубопроводов теплоснабжения, горячего и холодного водоснабжения, диаметр труб, мм: 400</t>
  </si>
  <si>
    <t>Водолазное обследование тоннельных коллекторов внутренним диаметром от 1500 мм до 4050 мм</t>
  </si>
  <si>
    <t>ТЕРр66-51-1</t>
  </si>
  <si>
    <t>Подводно-технические водолазные работы по очистке от камней, щебня и ила тоннельных коллекторов внутренним диаметром от 1500 мм до 4050 мм</t>
  </si>
  <si>
    <t>ТЕРр66-52-1</t>
  </si>
  <si>
    <t>Подводно-технические водолазные работы по очистке тоннельных коллекторов внутренним диаметром от 1500 мм до 4050 мм от: камня</t>
  </si>
  <si>
    <t>ТЕРр66-52-2</t>
  </si>
  <si>
    <t>Подводно-технические водолазные работы по очистке тоннельных коллекторов внутренним диаметром от 1500 мм до 4050 мм от: щебня</t>
  </si>
  <si>
    <t>ТЕРр66-52-3</t>
  </si>
  <si>
    <t>Подводно-технические водолазные работы по очистке тоннельных коллекторов внутренним диаметром от 1500 мм до 4050 мм от: ила</t>
  </si>
  <si>
    <r>
      <t xml:space="preserve">         </t>
    </r>
    <r>
      <rPr>
        <sz val="18"/>
        <rFont val="Arial"/>
        <family val="2"/>
        <charset val="204"/>
      </rPr>
      <t xml:space="preserve">        ТЕРр67</t>
    </r>
  </si>
  <si>
    <t>Раздел 1. Демонтаж электропроводки</t>
  </si>
  <si>
    <t>ТЕРр67-1-1</t>
  </si>
  <si>
    <t>Демонтаж: скрытой электропроводки</t>
  </si>
  <si>
    <t>ТЕРр67-1-2</t>
  </si>
  <si>
    <t>Демонтаж: шнура на роликах</t>
  </si>
  <si>
    <t>ТЕРр67-1-3</t>
  </si>
  <si>
    <t>Демонтаж электропроводки, провода на крюках (якорях) с изоляторами сечением: 16 мм2</t>
  </si>
  <si>
    <t>ТЕРр67-1-4</t>
  </si>
  <si>
    <t>Демонтаж электропроводки, провода на крюках (якорях) с изоляторами сечением: 70 мм2</t>
  </si>
  <si>
    <t>ТЕРр67-1-5</t>
  </si>
  <si>
    <t>Демонтаж электропроводки, провода на крюках (якорях) с изоляторами сечением: 150 мм2</t>
  </si>
  <si>
    <t>Раздел 2. Демонтаж труб и проводов из труб</t>
  </si>
  <si>
    <t>ТЕРр67-2-1</t>
  </si>
  <si>
    <t>Демонтаж проводов из труб суммарным сечением: до 6 мм2</t>
  </si>
  <si>
    <t>ТЕРр67-2-2</t>
  </si>
  <si>
    <t>Демонтаж проводов из труб суммарным сечением: до 16 мм2</t>
  </si>
  <si>
    <t>ТЕРр67-2-3</t>
  </si>
  <si>
    <t>Демонтаж проводов из труб суммарным сечением: до 35 мм2</t>
  </si>
  <si>
    <t>ТЕРр67-2-4</t>
  </si>
  <si>
    <t>Демонтаж проводов из труб суммарным сечением: до 70 мм2</t>
  </si>
  <si>
    <t>ТЕРр67-2-5</t>
  </si>
  <si>
    <t>Демонтаж стальных труб, проложенных на скобах диаметром: до 25 мм</t>
  </si>
  <si>
    <t>ТЕРр67-2-6</t>
  </si>
  <si>
    <t>Демонтаж стальных труб, проложенных на скобах диаметром: до 40 мм</t>
  </si>
  <si>
    <t>ТЕРр67-2-7</t>
  </si>
  <si>
    <t>Демонтаж стальных труб, проложенных на скобах диаметром: до 80 мм</t>
  </si>
  <si>
    <t>ТЕРр67-2-8</t>
  </si>
  <si>
    <t>Демонтаж стальных труб, проложенных в борозде пола диаметром: до 25 мм</t>
  </si>
  <si>
    <t>ТЕРр67-2-9</t>
  </si>
  <si>
    <t>Демонтаж стальных труб, проложенных в борозде пола диаметром: до 40 мм</t>
  </si>
  <si>
    <t>ТЕРр67-2-10</t>
  </si>
  <si>
    <t>Демонтаж стальных труб, проложенных в борозде пола диаметром: до 80 мм</t>
  </si>
  <si>
    <t>ТЕРр67-2-11</t>
  </si>
  <si>
    <t>Демонтаж винипластовых труб, проложенных на скобах диаметром: до 25 мм</t>
  </si>
  <si>
    <t>ТЕРр67-2-12</t>
  </si>
  <si>
    <t>Демонтаж винипластовых труб, проложенных на скобах диаметром: до 50 мм</t>
  </si>
  <si>
    <t>Раздел 3. Демонтаж кабеля</t>
  </si>
  <si>
    <t>ТЕРр67-3-1</t>
  </si>
  <si>
    <t>Демонтаж кабеля</t>
  </si>
  <si>
    <t>Раздел 4. Демонтаж приборов</t>
  </si>
  <si>
    <t>ТЕРр67-4-1</t>
  </si>
  <si>
    <t>Демонтаж: выключателей, розеток</t>
  </si>
  <si>
    <t>ТЕРр67-4-2</t>
  </si>
  <si>
    <t>Демонтаж: патронов, подвесов</t>
  </si>
  <si>
    <t>ТЕРр67-4-3</t>
  </si>
  <si>
    <t>Демонтаж: светильников с лампами накаливания</t>
  </si>
  <si>
    <t>ТЕРр67-4-4</t>
  </si>
  <si>
    <t>Демонтаж: бра, плафонов</t>
  </si>
  <si>
    <t>ТЕРр67-4-5</t>
  </si>
  <si>
    <t>Демонтаж: светильников для люминесцентных ламп</t>
  </si>
  <si>
    <t>ТЕРр67-4-6</t>
  </si>
  <si>
    <t>Демонтаж: электросчетчиков</t>
  </si>
  <si>
    <t>Раздел 5. Смена ламп</t>
  </si>
  <si>
    <t>ТЕРр67-5-1</t>
  </si>
  <si>
    <t>Смена ламп: накаливания</t>
  </si>
  <si>
    <t>ТЕРр67-5-2</t>
  </si>
  <si>
    <t>Смена ламп: люминесцентных</t>
  </si>
  <si>
    <t>Раздел 6. Смена магнитных пускателей</t>
  </si>
  <si>
    <t>ТЕРр67-6-1</t>
  </si>
  <si>
    <t>Смена магнитных пускателей</t>
  </si>
  <si>
    <t>Раздел 7. Смена пакетных выключателей</t>
  </si>
  <si>
    <t>ТЕРр67-7-1</t>
  </si>
  <si>
    <t>Смена пакетных выключателей</t>
  </si>
  <si>
    <t>Раздел 8. Смена светильников</t>
  </si>
  <si>
    <t>ТЕРр67-8-1</t>
  </si>
  <si>
    <t>Смена светильников: с лампами накаливания</t>
  </si>
  <si>
    <t>ТЕРр67-8-2</t>
  </si>
  <si>
    <t>Смена светильников: с люминесцентными лампами</t>
  </si>
  <si>
    <t>Раздел 9. Смена выключателей и розеток</t>
  </si>
  <si>
    <t>ТЕРр67-9-1</t>
  </si>
  <si>
    <t>Смена: выключателей</t>
  </si>
  <si>
    <t>ТЕРр67-9-2</t>
  </si>
  <si>
    <t>Смена: розеток</t>
  </si>
  <si>
    <t>Раздел 10. Смена электросчетчиков</t>
  </si>
  <si>
    <t>ТЕРр67-10-1</t>
  </si>
  <si>
    <t>Смена электросчетчиков</t>
  </si>
  <si>
    <t>Раздел 11. Смена патронов</t>
  </si>
  <si>
    <t>ТЕРр67-11-1</t>
  </si>
  <si>
    <t>Смена патронов</t>
  </si>
  <si>
    <t>Раздел 12. Ремонт магнитных пускателей</t>
  </si>
  <si>
    <t>ТЕРр67-12-1</t>
  </si>
  <si>
    <t>Ремонт магнитных пускателей</t>
  </si>
  <si>
    <t>Раздел 13. Ремонт групповых щитков на лестничной клетке без ремонта автоматов</t>
  </si>
  <si>
    <t>ТЕРр67-13-1</t>
  </si>
  <si>
    <t>Ремонт групповых щитков на лестничной клетке без ремонта автоматов</t>
  </si>
  <si>
    <t>Раздел 14. Ремонт групповых щитков на лестничной клетке со сменой автоматов</t>
  </si>
  <si>
    <t>ТЕРр67-14-1</t>
  </si>
  <si>
    <t>Ремонт групповых щитков на лестничной клетке со сменой автоматов</t>
  </si>
  <si>
    <t>Раздел 15. Ремонт силового предохранительного шкафа</t>
  </si>
  <si>
    <t>ТЕРр67-15-1</t>
  </si>
  <si>
    <t>Ремонт силового предохранительного шкафа</t>
  </si>
  <si>
    <t xml:space="preserve">              ТЕРр68</t>
  </si>
  <si>
    <t>Раздел 1. Корчевка пней вручную давностью рубки до трех лет</t>
  </si>
  <si>
    <t>ТЕРр68-1-1</t>
  </si>
  <si>
    <t>Корчевка пней вручную давностью рубки до трех лет: диаметром до 500 мм мягких пород</t>
  </si>
  <si>
    <t>ТЕРр68-1-2</t>
  </si>
  <si>
    <t>Корчевка пней вручную давностью рубки до трех лет: диаметром до 500 мм твердых пород</t>
  </si>
  <si>
    <t>ТЕРр68-1-3</t>
  </si>
  <si>
    <t>Корчевка пней вручную давностью рубки до трех лет: диаметром до 700 мм мягких пород</t>
  </si>
  <si>
    <t>ТЕРр68-1-4</t>
  </si>
  <si>
    <t>Корчевка пней вручную давностью рубки до трех лет: диаметром до 700 мм твердых пород</t>
  </si>
  <si>
    <t>Раздел 2. Формовочная обрезка деревьев</t>
  </si>
  <si>
    <t>ТЕРр68-2-1</t>
  </si>
  <si>
    <t>Формовочная обрезка деревьев высотой: до 5 м</t>
  </si>
  <si>
    <t>ТЕРр68-2-2</t>
  </si>
  <si>
    <t>Формовочная обрезка деревьев высотой: более 5 м</t>
  </si>
  <si>
    <t>Раздел 3. Валка деревьев в городских условиях</t>
  </si>
  <si>
    <t>ТЕРр68-3-1</t>
  </si>
  <si>
    <t>Валка деревьев в городских условиях: (липа, сосна, кедр, тополь) диаметром до 300 мм</t>
  </si>
  <si>
    <t>ТЕРр68-3-2</t>
  </si>
  <si>
    <t>Валка деревьев в городских условиях: (липа, сосна, кедр, тополь) диаметром более 300 мм</t>
  </si>
  <si>
    <t>ТЕРр68-3-3</t>
  </si>
  <si>
    <t>Валка деревьев в городских условиях: (ель, пихта, береза, лиственница, ольха) диаметром до 300 мм</t>
  </si>
  <si>
    <t>ТЕРр68-3-4</t>
  </si>
  <si>
    <t>Валка деревьев в городских условиях: (ель, пихта, береза, лиственница, ольха) диаметром более 300 мм</t>
  </si>
  <si>
    <t>ТЕРр68-3-5</t>
  </si>
  <si>
    <t>Валка деревьев в городских условиях: (дуб, бук, граб, клен, ясень) диаметром до 300 мм</t>
  </si>
  <si>
    <t>ТЕРр68-3-6</t>
  </si>
  <si>
    <t>Валка деревьев в городских условиях: (дуб, бук, граб, клен, ясень) диаметром более 300 мм</t>
  </si>
  <si>
    <t>Раздел 4. Выкашивание газонов</t>
  </si>
  <si>
    <t>ТЕРр68-4-1</t>
  </si>
  <si>
    <t>Выкашивание газонов: косой</t>
  </si>
  <si>
    <t>ТЕРр68-4-2</t>
  </si>
  <si>
    <t>Выкашивание газонов: газонокосилкой</t>
  </si>
  <si>
    <t>Раздел 5. Вырезка сухих ветвей</t>
  </si>
  <si>
    <t>ТЕРр68-5-1</t>
  </si>
  <si>
    <t>Вырезка сухих ветвей деревьев лиственных пород диаметром: до 350 мм при количестве срезанных ветвей до 5</t>
  </si>
  <si>
    <t>ТЕРр68-5-2</t>
  </si>
  <si>
    <t>Вырезка сухих ветвей деревьев лиственных пород диаметром: более 350 мм при количестве срезанных ветвей до 5</t>
  </si>
  <si>
    <t>ТЕРр68-5-3</t>
  </si>
  <si>
    <t>Вырезка сухих ветвей деревьев лиственных пород диаметром: до 350 мм при количестве срезанных ветвей до 15</t>
  </si>
  <si>
    <t>ТЕРр68-5-4</t>
  </si>
  <si>
    <t>Вырезка сухих ветвей деревьев лиственных пород диаметром: более 350 мм при количестве срезанных ветвей до 15</t>
  </si>
  <si>
    <t>ТЕРр68-5-5</t>
  </si>
  <si>
    <t>Вырезка сухих ветвей деревьев лиственных пород диаметром: до 350 мм при количестве срезанных ветвей более 15</t>
  </si>
  <si>
    <t>ТЕРр68-5-6</t>
  </si>
  <si>
    <t>Вырезка сухих ветвей деревьев лиственных пород диаметром: более 350 мм при количестве срезанных ветвей более 15</t>
  </si>
  <si>
    <t>ТЕРр68-5-7</t>
  </si>
  <si>
    <t>Вырезка сухих ветвей: сосны</t>
  </si>
  <si>
    <t>ТЕРр68-5-8</t>
  </si>
  <si>
    <t>Вырезка сухих ветвей: ели диаметром до 150 мм</t>
  </si>
  <si>
    <t>ТЕРр68-5-9</t>
  </si>
  <si>
    <t>Вырезка сухих ветвей: ели диаметром более 150 мм</t>
  </si>
  <si>
    <t>Раздел 6. Омоложение живых изгородей и кустарников</t>
  </si>
  <si>
    <t>ТЕРр68-6-1</t>
  </si>
  <si>
    <t>Омоложение живых изгородей: мягких с обрезкой побегов на пень до 70 %</t>
  </si>
  <si>
    <t>ТЕРр68-6-2</t>
  </si>
  <si>
    <t>Омоложение живых изгородей: мягких с обрезкой побегов на пень до 100 %</t>
  </si>
  <si>
    <t>ТЕРр68-6-3</t>
  </si>
  <si>
    <t>Омоложение живых изгородей: твердых с обрезкой побегов на пень до 70 %</t>
  </si>
  <si>
    <t>ТЕРр68-6-4</t>
  </si>
  <si>
    <t>Омоложение живых изгородей: твердых с обрезкой побегов на пень до 100 %</t>
  </si>
  <si>
    <t>ТЕРр68-6-5</t>
  </si>
  <si>
    <t>Омоложение живых изгородей: колючих с обрезкой побегов на пень до 70 %</t>
  </si>
  <si>
    <t>ТЕРр68-6-6</t>
  </si>
  <si>
    <t>Омоложение живых изгородей: колючих с обрезкой побегов на пень до 100 %</t>
  </si>
  <si>
    <t>ТЕРр68-6-7</t>
  </si>
  <si>
    <t>Омоложение одиночных кустарников</t>
  </si>
  <si>
    <t>Раздел 7. Штыковка почвы при омоложении растений</t>
  </si>
  <si>
    <t>ТЕРр68-7-1</t>
  </si>
  <si>
    <t>Штыковка почвы при омоложении растений глубиной штыкования: 150 мм в грунтах 1 группы</t>
  </si>
  <si>
    <t>ТЕРр68-7-2</t>
  </si>
  <si>
    <t>Штыковка почвы при омоложении растений глубиной штыкования: 150 мм в грунтах 2 группы</t>
  </si>
  <si>
    <t>ТЕРр68-7-3</t>
  </si>
  <si>
    <t>Штыковка почвы при омоложении растений глубиной штыкования: 250 мм в грунтах 1 группы</t>
  </si>
  <si>
    <t>ТЕРр68-7-4</t>
  </si>
  <si>
    <t>Штыковка почвы при омоложении растений глубиной штыкования: 250 мм в грунтах 2 группы</t>
  </si>
  <si>
    <t>Раздел 8. Ремонт садовых дорожек</t>
  </si>
  <si>
    <t>ТЕРр68-8-1</t>
  </si>
  <si>
    <t>Ремонт садовых дорожек: из известнякового щебня добавлением слоя толщиной 5 см</t>
  </si>
  <si>
    <t>ТЕРр68-8-2</t>
  </si>
  <si>
    <t>Ремонт садовых дорожек: на каждый 1 см изменения толщины слоя добавлять или исключать к расценке 68-8-1</t>
  </si>
  <si>
    <t>ТЕРр68-8-3</t>
  </si>
  <si>
    <t>Ремонт садовых дорожек: из кирпичного щебня добавлением слоя толщиной 5 см</t>
  </si>
  <si>
    <t>ТЕРр68-8-4</t>
  </si>
  <si>
    <t>Ремонт садовых дорожек: на каждый 1 см изменения толщины слоя добавлять или исключать к расценке 68-8-3</t>
  </si>
  <si>
    <t>ТЕРр68-8-5</t>
  </si>
  <si>
    <t>Ремонт садовых дорожек: из шлака добавлением слоя толщиной 5 см</t>
  </si>
  <si>
    <t>ТЕРр68-8-6</t>
  </si>
  <si>
    <t>Ремонт садовых дорожек: на каждый 1 см изменения толщины слоя добавлять или исключать к расценке 68-8-5</t>
  </si>
  <si>
    <t>Раздел 9. Исправление профиля щебеночных и гравийных оснований</t>
  </si>
  <si>
    <t>ТЕРр68-9-1</t>
  </si>
  <si>
    <t>Исправление профиля оснований: щебеночных с добавлением нового материала</t>
  </si>
  <si>
    <t>ТЕРр68-9-2</t>
  </si>
  <si>
    <t>Исправление профиля оснований: щебеночных без добавления нового материала</t>
  </si>
  <si>
    <t>ТЕРр68-9-3</t>
  </si>
  <si>
    <t>Исправление профиля оснований: гравийных с добавлением нового материала</t>
  </si>
  <si>
    <t>ТЕРр68-9-4</t>
  </si>
  <si>
    <t>Исправление профиля оснований: гравийных без добавления нового материала</t>
  </si>
  <si>
    <t>Раздел 10. Устройство выравнивающего слоя из асфальтобетонной смеси</t>
  </si>
  <si>
    <t>ТЕРр68-10-1</t>
  </si>
  <si>
    <t>Устройство выравнивающего слоя из асфальтобетонной смеси: с применением укладчиков асфальтобетона</t>
  </si>
  <si>
    <t>ТЕРр68-10-2</t>
  </si>
  <si>
    <t>Устройство выравнивающего слоя из асфальтобетонной смеси: без применения укладчиков асфальтобетона</t>
  </si>
  <si>
    <t>Раздел 11. Перемощение мостовой</t>
  </si>
  <si>
    <t>ТЕРр68-11-1</t>
  </si>
  <si>
    <t>Перемощение мостовой</t>
  </si>
  <si>
    <t>Раздел 12. Разборка покрытий и оснований</t>
  </si>
  <si>
    <t>ТЕРр68-12-1</t>
  </si>
  <si>
    <t>Разборка покрытий и оснований: мостовой из булыжного камня</t>
  </si>
  <si>
    <t>ТЕРр68-12-2</t>
  </si>
  <si>
    <t>Разборка покрытий и оснований: щебеночных</t>
  </si>
  <si>
    <t>ТЕРр68-12-3</t>
  </si>
  <si>
    <t>Разборка покрытий и оснований: черных щебеночных</t>
  </si>
  <si>
    <t>ТЕРр68-12-4</t>
  </si>
  <si>
    <t>Разборка покрытий и оснований: асфальтобетонных с помощью молотков отбойных</t>
  </si>
  <si>
    <t>ТЕРр68-12-5</t>
  </si>
  <si>
    <t>Разборка покрытий и оснований: цементно-бетонных</t>
  </si>
  <si>
    <t>ТЕРр68-12-6</t>
  </si>
  <si>
    <t>Снятие деформированных асфальтобетонных покрытий самоходными холодными фрезами с шириной фрезерования 500-1000 мм и толщиной слоя: до 30 мм</t>
  </si>
  <si>
    <t>ТЕРр68-12-7</t>
  </si>
  <si>
    <t>Снятие деформированных асфальтобетонных покрытий самоходными холодными фрезами с шириной фрезерования 500-1000 мм и толщиной слоя: до 50 мм</t>
  </si>
  <si>
    <t>ТЕРр68-12-8</t>
  </si>
  <si>
    <t>Снятие деформированных асфальтобетонных покрытий самоходными холодными фрезами с шириной фрезерования 500-1000 мм и толщиной слоя: до 70 мм</t>
  </si>
  <si>
    <t>ТЕРр68-12-9</t>
  </si>
  <si>
    <t>Снятие деформированных асфальтобетонных покрытий самоходными холодными фрезами с шириной фрезерования 500-1000 мм и толщиной слоя: до 90 мм</t>
  </si>
  <si>
    <t>ТЕРр68-12-10</t>
  </si>
  <si>
    <t>Снятие деформированных асфальтобетонных покрытий самоходными холодными фрезами с шириной фрезерования 500-1000 мм и толщиной слоя: до 110 мм</t>
  </si>
  <si>
    <t>ТЕРр68-12-11</t>
  </si>
  <si>
    <t>Снятие деформированных асфальтобетонных покрытий самоходными холодными фрезами с шириной фрезерования 1500-2100 мм толщиной слоя: до 30 мм</t>
  </si>
  <si>
    <t>ТЕРр68-12-12</t>
  </si>
  <si>
    <t>Снятие деформированных асфальтобетонных покрытий самоходными холодными фрезами с шириной фрезерования 1500-2100 мм толщиной слоя: до 50 мм</t>
  </si>
  <si>
    <t>ТЕРр68-12-13</t>
  </si>
  <si>
    <t>Снятие деформированных асфальтобетонных покрытий самоходными холодными фрезами с шириной фрезерования 1500-2100 мм толщиной слоя: до 70 мм</t>
  </si>
  <si>
    <t>ТЕРр68-12-14</t>
  </si>
  <si>
    <t>Снятие деформированных асфальтобетонных покрытий самоходными холодными фрезами с шириной фрезерования 1500-2100 мм толщиной слоя: до 90 мм</t>
  </si>
  <si>
    <t>ТЕРр68-12-15</t>
  </si>
  <si>
    <t>Снятие деформированных асфальтобетонных покрытий самоходными холодными фрезами с шириной фрезерования 1500-2100 мм толщиной слоя: до 110 мм</t>
  </si>
  <si>
    <t>ТЕРр68-12-16</t>
  </si>
  <si>
    <t>Снятие деформированных асфальтобетонных покрытий самоходными холодными фрезами с шириной фрезерования 1500-2100 мм толщиной слоя: до 130 мм</t>
  </si>
  <si>
    <t>ТЕРр68-12-17</t>
  </si>
  <si>
    <t>Снятие деформированных асфальтобетонных покрытий самоходными холодными фрезами с шириной фрезерования 1500-2100 мм толщиной слоя: до 150 мм</t>
  </si>
  <si>
    <t>ТЕРр68-12-18</t>
  </si>
  <si>
    <t>Разборка тротуаров: из мелкоштучных искусственных материалов (брусчатка) на цементно-песчанном монтажном слое толщиной 50 мм</t>
  </si>
  <si>
    <t>ТЕРр68-12-19</t>
  </si>
  <si>
    <t>Разборка тротуаров: из камня гранитного штучного мелкоразмерного на цементно-песчаном монтажном слое толщиной 50 мм</t>
  </si>
  <si>
    <t>ТЕРр68-12-20</t>
  </si>
  <si>
    <t>Разборка тротуаров: из природных материалов (плиты гранитные) на цементно-песчанном монтажном слое толщиной 50 мм</t>
  </si>
  <si>
    <t>Раздел 13. Разборка асфальтобетонных покрытий тротуаров толщиной до 4 см</t>
  </si>
  <si>
    <t>ТЕРр68-13-1</t>
  </si>
  <si>
    <t>Разборка асфальтобетонных покрытий тротуаров толщиной до 4 см: вручную</t>
  </si>
  <si>
    <t>ТЕРр68-13-2</t>
  </si>
  <si>
    <t>Разборка асфальтобетонных покрытий тротуаров толщиной до 4 см: с помощью молотков отбойных пневматических</t>
  </si>
  <si>
    <t>Раздел 14. Разборка бортовых камней</t>
  </si>
  <si>
    <t>ТЕРр68-14-1</t>
  </si>
  <si>
    <t>Разборка бортовых камней: на бетонном основании</t>
  </si>
  <si>
    <t>ТЕРр68-14-2</t>
  </si>
  <si>
    <t>Разборка бортовых камней: на щебеночном основании</t>
  </si>
  <si>
    <t>Раздел 15. Ремонт асфальтобетонного покрытия дорог</t>
  </si>
  <si>
    <t>ТЕРр68-15-1</t>
  </si>
  <si>
    <t>Ремонт асфальтобетонного покрытия дорог однослойного толщиной: 50 мм площадью ремонта до 5 м2</t>
  </si>
  <si>
    <t>ТЕРр68-15-2</t>
  </si>
  <si>
    <t>Ремонт асфальтобетонного покрытия дорог однослойного толщиной: 50 мм площадью ремонта до 25 м2</t>
  </si>
  <si>
    <t>ТЕРр68-15-3</t>
  </si>
  <si>
    <t>Ремонт асфальтобетонного покрытия дорог однослойного толщиной: 70 мм площадью ремонта до 5 м2</t>
  </si>
  <si>
    <t>ТЕРр68-15-4</t>
  </si>
  <si>
    <t>Ремонт асфальтобетонного покрытия дорог однослойного толщиной: 70 мм площадью ремонта до 25 м2</t>
  </si>
  <si>
    <t>ТЕРр68-15-5</t>
  </si>
  <si>
    <t>Ремонт асфальтобетонного покрытия дорог однослойного толщиной: 80 мм площадью ремонта до 5 м2</t>
  </si>
  <si>
    <t>ТЕРр68-15-6</t>
  </si>
  <si>
    <t>Ремонт асфальтобетонного покрытия дорог однослойного толщиной: 80 мм площадью ремонта до 25 м2</t>
  </si>
  <si>
    <t>Раздел 16. Ремонт тротуаров из литого асфальта</t>
  </si>
  <si>
    <t>ТЕРр68-16-1</t>
  </si>
  <si>
    <t>Ремонт тротуаров из литого асфальта</t>
  </si>
  <si>
    <t>Раздел 17. Ремонт бордюров</t>
  </si>
  <si>
    <t>ТЕРр68-17-1</t>
  </si>
  <si>
    <t>Ремонт бордюров с внутренней обшивкой</t>
  </si>
  <si>
    <t>Раздел 18. Заделка швов цементным раствором в существующих бордюрах</t>
  </si>
  <si>
    <t>ТЕРр68-18-1</t>
  </si>
  <si>
    <t>Заделка швов цементным раствором в существующих бордюрах</t>
  </si>
  <si>
    <t>Раздел 19. Заделка трещин в асфальтобетонных покрытиях вручную битумом с очисткой трещин и засыпкой поверхности песком с уплотнением</t>
  </si>
  <si>
    <t>ТЕРр68-19-1</t>
  </si>
  <si>
    <t>Заделка трещин в асфальтобетонных покрытиях вручную битумом с очисткой трещин и засыпкой поверхности песком с уплотнением</t>
  </si>
  <si>
    <t>Раздел 20. Разборка тротуаров и дорожек из плит с их отноской и укладкой в штабель</t>
  </si>
  <si>
    <t>ТЕРр68-20-1</t>
  </si>
  <si>
    <t>Разборка тротуаров и дорожек из плит с их отноской и укладкой в штабель</t>
  </si>
  <si>
    <t>Раздел 21. Размостка плитных тротуаров и дорожек с разборкой</t>
  </si>
  <si>
    <t>ТЕРр68-21-1</t>
  </si>
  <si>
    <t>Размостка плитных тротуаров и дорожек с разборкой</t>
  </si>
  <si>
    <t>Раздел 22. Восстановление профиля канав вручную с очисткой от кустарника, отрывкой грунта с разравниванием и планировкой откосов</t>
  </si>
  <si>
    <t>ТЕРр68-22-1</t>
  </si>
  <si>
    <t>Восстановление профиля канав вручную с очисткой от кустарника, отрывкой грунта с разравниванием и планировкой откосов: полное</t>
  </si>
  <si>
    <t>ТЕРр68-22-2</t>
  </si>
  <si>
    <t>Восстановление профиля канав вручную с очисткой от кустарника, отрывкой грунта с разравниванием и планировкой откосов: частичное</t>
  </si>
  <si>
    <t>Раздел 23. Ремонт металлических ограждений</t>
  </si>
  <si>
    <t>ТЕРр68-23-1</t>
  </si>
  <si>
    <t>Ремонт металлических ограждений: мелкий</t>
  </si>
  <si>
    <t>ТЕРр68-23-2</t>
  </si>
  <si>
    <t>Ремонт металлических ограждений: средний</t>
  </si>
  <si>
    <t>Раздел 24. Смена отдельных участков металлического ограждения газонов</t>
  </si>
  <si>
    <t>ТЕРр68-24-1</t>
  </si>
  <si>
    <t>Смена отдельных участков металлического ограждения газонов из труб диаметром: до 25 мм</t>
  </si>
  <si>
    <t>ТЕРр68-24-2</t>
  </si>
  <si>
    <t>Смена отдельных участков металлического ограждения газонов из труб диаметром: до 40 мм</t>
  </si>
  <si>
    <t>Раздел 25. Смена отдельных частей металлического ограждения спортивных площадок</t>
  </si>
  <si>
    <t>ТЕРр68-25-1</t>
  </si>
  <si>
    <t>Смена отдельных частей металлического ограждения спортивных площадок: сетки</t>
  </si>
  <si>
    <t>ТЕРр68-25-2</t>
  </si>
  <si>
    <t>Смена отдельных частей металлического ограждения спортивных площадок: стойки</t>
  </si>
  <si>
    <t>ТЕРр68-25-3</t>
  </si>
  <si>
    <t>Смена отдельных частей металлического ограждения спортивных площадок: пожилины</t>
  </si>
  <si>
    <t>Раздел 26. Разборка деревянных заборов</t>
  </si>
  <si>
    <t>ТЕРр68-26-1</t>
  </si>
  <si>
    <t>Разборка деревянных заборов: инвентарных из готовых звеньев</t>
  </si>
  <si>
    <t>ТЕРр68-26-2</t>
  </si>
  <si>
    <t>Разборка деревянных заборов: штакетных</t>
  </si>
  <si>
    <t>ТЕРр68-26-3</t>
  </si>
  <si>
    <t>Разборка деревянных заборов: глухих из строганых досок</t>
  </si>
  <si>
    <t>Раздел 27. Ремонт деревянных ворот и калиток</t>
  </si>
  <si>
    <t>ТЕРр68-27-1</t>
  </si>
  <si>
    <t>Ремонт деревянных: ворот</t>
  </si>
  <si>
    <t>ТЕРр68-27-2</t>
  </si>
  <si>
    <t>Ремонт деревянных: калиток</t>
  </si>
  <si>
    <t>Раздел 28. Доработка торцевых поверхностей на ширину свыше 30 мм изделий из природного камня при мощении и монтаже</t>
  </si>
  <si>
    <t>ТЕРр68-28-1</t>
  </si>
  <si>
    <t>Доработка торцевых поверхностей на ширину свыше 30 мм изделий из природного камня при мощении и монтаже: фрезерованием</t>
  </si>
  <si>
    <t>ТЕРр68-28-2</t>
  </si>
  <si>
    <t>Доработка торцевых поверхностей на ширину свыше 30 мм изделий из природного камня при мощении и монтаже: бучардированием</t>
  </si>
  <si>
    <t>ТЕРр68-28-3</t>
  </si>
  <si>
    <t>Доработка торцевых поверхностей на ширину свыше 30 мм изделий из природного камня при мощении и монтаже: термоструйным способом</t>
  </si>
  <si>
    <t>ТЕРр68-28-4</t>
  </si>
  <si>
    <t>Доработка торцевых поверхностей на ширину свыше 30 мм изделий из природного камня при мощении и монтаже: шлифованием</t>
  </si>
  <si>
    <t>ТЕРр68-28-5</t>
  </si>
  <si>
    <t>Доработка торцевых поверхностей на ширину свыше 30 мм изделий из природного камня при мощении и монтаже: полированием</t>
  </si>
  <si>
    <t>Раздел 29. Ремонт массивной гранитной облицовки мостов и набережных</t>
  </si>
  <si>
    <t>ТЕРр68-29-1</t>
  </si>
  <si>
    <t>Ремонт массивной гранитной облицовки мостов и набережных</t>
  </si>
  <si>
    <t>Раздел 30. Валка деревьев с корня без корчевки пня</t>
  </si>
  <si>
    <t>ТЕРр68-33-1</t>
  </si>
  <si>
    <t>Валка деревьев с корня без корчевки пня мягколиственных и твердолиственных пород (кроме породы тополь) при диаметре ствола: до 16 см</t>
  </si>
  <si>
    <t>ТЕРр68-33-2</t>
  </si>
  <si>
    <t>Валка деревьев с корня без корчевки пня мягколиственных и твердолиственных пород (кроме породы тополь) при диаметре ствола: до 24 см</t>
  </si>
  <si>
    <t>ТЕРр68-33-3</t>
  </si>
  <si>
    <t>Валка деревьев с корня без корчевки пня мягколиственных и твердолиственных пород (кроме породы тополь) при диаметре ствола: до 36 см</t>
  </si>
  <si>
    <t>ТЕРр68-33-4</t>
  </si>
  <si>
    <t>Валка деревьев с корня без корчевки пня мягколиственных и твердолиственных пород (кроме породы тополь) при диаметре ствола: до 48 см</t>
  </si>
  <si>
    <t>Раздел 31. Валка деревьев с применением автогидроподъемника без корчевки пня</t>
  </si>
  <si>
    <t>ТЕРр68-34-1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</si>
  <si>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ствола: до 36 см</t>
  </si>
  <si>
    <t>ТЕРр68-34-2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</si>
  <si>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ствола: до 52 см</t>
  </si>
  <si>
    <t>ТЕРр68-34-3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</si>
  <si>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ствола: до 80 см</t>
  </si>
  <si>
    <t>ТЕРр68-34-4</t>
  </si>
  <si>
    <t>Валка деревьев с применением автогидроподъемника без корчевки пня породы тополь при диаметре ствола: до 100 см</t>
  </si>
  <si>
    <t>ТЕРр68-34-5</t>
  </si>
  <si>
    <t>Валка деревьев с применением автогидроподъемника без корчевки пня породы тополь при диаметре ствола: до 120 см</t>
  </si>
  <si>
    <t>ТЕРр68-34-6</t>
  </si>
  <si>
    <t>Валка деревьев с применением автогидроподъемника без корчевки пня породы тополь при диаметре ствола: более 120 см</t>
  </si>
  <si>
    <t>Раздел 32. Валка деревьев в труднодоступных местах с применением канатного метода страховки без корчевки пня</t>
  </si>
  <si>
    <t>ТЕРр68-35-1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</si>
  <si>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ствола: до 36 см</t>
  </si>
  <si>
    <t>ТЕРр68-35-2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</si>
  <si>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ствола: до 52 см</t>
  </si>
  <si>
    <t>ТЕРр68-35-3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</si>
  <si>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ствола: до 72 см</t>
  </si>
  <si>
    <t>ТЕРр68-35-4</t>
  </si>
  <si>
    <t>Валка деревьев в труднодоступных местах с применением канатного метода страховки без корчевки пня породы тополь при диаметре ствола: до 80 см</t>
  </si>
  <si>
    <t>ТЕРр68-35-5</t>
  </si>
  <si>
    <t>Валка деревьев в труднодоступных местах с применением канатного метода страховки без корчевки пня породы тополь при диаметре ствола: более 80 см</t>
  </si>
  <si>
    <t>Раздел 33. Разборка асфальтобетонного покрытия толщиной 10 см вокруг колодцев</t>
  </si>
  <si>
    <t>ТЕРр68-36-1</t>
  </si>
  <si>
    <t>Разборка асфальтобетонного покрытия толщиной 10 см вокруг колодцев с применением: отбойных молотков</t>
  </si>
  <si>
    <t>ТЕРр68-36-2</t>
  </si>
  <si>
    <t>Разборка асфальтобетонного покрытия толщиной 10 см вокруг колодцев с применением: дорожных фрез малых типоразмеров типа "WIRTGEN W 35 DC"</t>
  </si>
  <si>
    <t>Раздел 34. Регулирование высотного положения крышек колодцев</t>
  </si>
  <si>
    <t>ТЕРр68-37-1</t>
  </si>
  <si>
    <t>Регулирование высотного положения крышек колодцев с подъемом на высоту: до 5 см</t>
  </si>
  <si>
    <t>ТЕРр68-37-2</t>
  </si>
  <si>
    <t>Регулирование высотного положения крышек колодцев с подъемом на высоту: до 10 см</t>
  </si>
  <si>
    <t>ТЕРр68-37-3</t>
  </si>
  <si>
    <t>Регулирование высотного положения крышек колодцев с подъемом на высоту: до 18 см</t>
  </si>
  <si>
    <t>ТЕРр68-37-4</t>
  </si>
  <si>
    <t>Регулирование высотного положения крышек колодцев с подъемом на высоту: до 25 см</t>
  </si>
  <si>
    <r>
      <t xml:space="preserve">              </t>
    </r>
    <r>
      <rPr>
        <sz val="18"/>
        <rFont val="Arial"/>
        <family val="2"/>
        <charset val="204"/>
      </rPr>
      <t xml:space="preserve"> ТЕРр69</t>
    </r>
  </si>
  <si>
    <t>Раздел 1. Пробивка отверстий в кирпичных стенах для водогазопроводных труб вручную</t>
  </si>
  <si>
    <t>ТЕРр69-1-1</t>
  </si>
  <si>
    <t>Пробивка отверстий в кирпичных стенах для водогазопроводных труб вручную при толщине стен: в 0,5 кирпича</t>
  </si>
  <si>
    <t>ТЕРр69-1-2</t>
  </si>
  <si>
    <t>Пробивка отверстий в кирпичных стенах для водогазопроводных труб вручную при толщине стен: в 1 кирпич</t>
  </si>
  <si>
    <t>ТЕРр69-1-3</t>
  </si>
  <si>
    <t>Пробивка отверстий в кирпичных стенах для водогазопроводных труб вручную при толщине стен: в 1,5 кирпича</t>
  </si>
  <si>
    <t>ТЕРр69-1-4</t>
  </si>
  <si>
    <t>Пробивка отверстий в кирпичных стенах для водогазопроводных труб вручную при толщине стен: в 2 кирпича</t>
  </si>
  <si>
    <t>ТЕРр69-1-5</t>
  </si>
  <si>
    <t>Пробивка отверстий в кирпичных стенах для водогазопроводных труб вручную при толщине стен: в 2,5 кирпича</t>
  </si>
  <si>
    <t>ТЕРр69-1-6</t>
  </si>
  <si>
    <t>Пробивка отверстий в кирпичных стенах для водогазопроводных труб вручную при толщине стен: в 3 кирпича</t>
  </si>
  <si>
    <t>ТЕРр69-1-7</t>
  </si>
  <si>
    <t>При работе с приставных лестниц добавлять: к расценке 69-1-1</t>
  </si>
  <si>
    <t>ТЕРр69-1-8</t>
  </si>
  <si>
    <t>При работе с приставных лестниц добавлять: к расценке 69-1-2</t>
  </si>
  <si>
    <t>ТЕРр69-1-9</t>
  </si>
  <si>
    <t>При работе с приставных лестниц добавлять: к расценке 69-1-3</t>
  </si>
  <si>
    <t>ТЕРр69-1-10</t>
  </si>
  <si>
    <t>При работе с приставных лестниц добавлять: к расценке 69-1-4</t>
  </si>
  <si>
    <t>ТЕРр69-1-11</t>
  </si>
  <si>
    <t>При работе с приставных лестниц добавлять: к расценке 69-1-5</t>
  </si>
  <si>
    <t>ТЕРр69-1-12</t>
  </si>
  <si>
    <t>При работе с приставных лестниц добавлять: к расценке 69-1-6</t>
  </si>
  <si>
    <t>Раздел 2. Сверление отверстий</t>
  </si>
  <si>
    <t>ТЕРр69-2-1</t>
  </si>
  <si>
    <t>Сверление отверстий: в кирпичных стенах электроперфоратором диаметром до 20 мм, толщина стен 0,5 кирпича</t>
  </si>
  <si>
    <t>ТЕРр69-2-2</t>
  </si>
  <si>
    <t>Сверление отверстий: на каждые 0,5 кирпича толщины стен добавлять к расценке 69-2-1</t>
  </si>
  <si>
    <t>ТЕРр69-2-3</t>
  </si>
  <si>
    <t>Сверление отверстий: на каждые 10 мм диаметра свыше 20 мм добавлять к расценке 69-2-1</t>
  </si>
  <si>
    <t>ТЕРр69-2-4</t>
  </si>
  <si>
    <t>Сверление отверстий: в деревянных конструкциях электродрелью диаметром до 10 мм глубиной до 20 см</t>
  </si>
  <si>
    <t>ТЕРр69-2-5</t>
  </si>
  <si>
    <t>Сверление отверстий: на каждые 5 см глубины свыше 20 см добавлять к расценке 69-2-4</t>
  </si>
  <si>
    <t>ТЕРр69-2-6</t>
  </si>
  <si>
    <t>Сверление отверстий: на каждые 10 мм диаметра свыше 10 мм добавлять к расценке 69-2-4</t>
  </si>
  <si>
    <t>Раздел 3. Прорезка отверстий в деревянных конструкциях для водогазопроводных и чугунных трубопроводов</t>
  </si>
  <si>
    <t>ТЕРр69-3-1</t>
  </si>
  <si>
    <t>Прорезка отверстий для водогазопроводных и чугунных трубопроводов в деревянных: перекрытиях междуэтажных</t>
  </si>
  <si>
    <t>ТЕРр69-3-2</t>
  </si>
  <si>
    <t>Прорезка отверстий для водогазопроводных и чугунных трубопроводов в деревянных: перекрытиях чердачных</t>
  </si>
  <si>
    <t>ТЕРр69-3-3</t>
  </si>
  <si>
    <t>Прорезка отверстий для водогазопроводных и чугунных трубопроводов в деревянных: перегородках оштукатуренных</t>
  </si>
  <si>
    <t>ТЕРр69-3-4</t>
  </si>
  <si>
    <t>Прорезка отверстий для водогазопроводных и чугунных трубопроводов в деревянных: перегородках чистых</t>
  </si>
  <si>
    <t>Раздел 4. Заделка отверстий в деревянных конструкциях после прокладки труб</t>
  </si>
  <si>
    <t>ТЕРр69-4-1</t>
  </si>
  <si>
    <t>Заделка отверстий в местах прохода трубопроводов: в стенах и перегородках оштукатуренных</t>
  </si>
  <si>
    <t>ТЕРр69-4-2</t>
  </si>
  <si>
    <t>Заделка отверстий в местах прохода трубопроводов: в чистых перегородках</t>
  </si>
  <si>
    <t>ТЕРр69-4-3</t>
  </si>
  <si>
    <t>Заделка отверстий в местах прохода трубопроводов: в перекрытиях оштукатуренных</t>
  </si>
  <si>
    <t>ТЕРр69-4-4</t>
  </si>
  <si>
    <t>Заделка отверстий в местах прохода трубопроводов: в полах дощатых</t>
  </si>
  <si>
    <t>ТЕРр69-4-5</t>
  </si>
  <si>
    <t>Заделка отверстий в местах прохода трубопроводов: в полах паркетных</t>
  </si>
  <si>
    <t>Раздел 5. Заделка гнезд на фасадах после разборки лесов</t>
  </si>
  <si>
    <t>ТЕРр69-5-1</t>
  </si>
  <si>
    <t>Заделка гнезд на фасадах после разборки лесов</t>
  </si>
  <si>
    <t>Раздел 6. Устройство и разборка деревянных неинвентарных лесов</t>
  </si>
  <si>
    <t>ТЕРр69-6-1</t>
  </si>
  <si>
    <t>Устройство и разборка деревянных неинвентарных лесов</t>
  </si>
  <si>
    <t>Раздел 7. Устройство ходов, переходных мостиков на чердаке</t>
  </si>
  <si>
    <t>ТЕРр69-7-1</t>
  </si>
  <si>
    <t>Устройство: ходов на чердаке</t>
  </si>
  <si>
    <t>ТЕРр69-7-2</t>
  </si>
  <si>
    <t>Устройство: переходных мостиков на чердаке</t>
  </si>
  <si>
    <t>Раздел 8. Утепление трубопроводов в каналах и коробах</t>
  </si>
  <si>
    <t>ТЕРр69-8-1</t>
  </si>
  <si>
    <t>Утепление трубопроводов в каналах и коробах: минеральной ватой</t>
  </si>
  <si>
    <t>ТЕРр69-8-2</t>
  </si>
  <si>
    <t>Утепление трубопроводов в каналах и коробах: опилками</t>
  </si>
  <si>
    <t>ТЕРр69-8-3</t>
  </si>
  <si>
    <t>Утепление трубопроводов в каналах и коробах: шлаком</t>
  </si>
  <si>
    <t>Раздел 9. Очистка помещений от строительного мусора</t>
  </si>
  <si>
    <t>ТЕРр69-9-1</t>
  </si>
  <si>
    <t>Очистка помещений от строительного мусора</t>
  </si>
  <si>
    <t>Раздел 10. Антисептирование древесины</t>
  </si>
  <si>
    <t>ТЕРр69-10-1</t>
  </si>
  <si>
    <t>Антисептирование древесины: водными растворами</t>
  </si>
  <si>
    <t>ТЕРр69-10-2</t>
  </si>
  <si>
    <t>Антисептирование древесины: пастами битумными</t>
  </si>
  <si>
    <t>ТЕРр69-10-3</t>
  </si>
  <si>
    <t>Антисептирование древесины: пастами на каменноугольном лаке</t>
  </si>
  <si>
    <t>ТЕРр69-10-4</t>
  </si>
  <si>
    <t>Антисептирование древесины: пастами экстрактными</t>
  </si>
  <si>
    <t>ТЕРр69-10-5</t>
  </si>
  <si>
    <t>Антисептирование древесины: маслянистыми антисептиками</t>
  </si>
  <si>
    <t>ТЕРр69-10-6</t>
  </si>
  <si>
    <t>При обработке отдельных мест и штучных элементов добавлять: к расценке 69-10-1</t>
  </si>
  <si>
    <t>ТЕРр69-10-7</t>
  </si>
  <si>
    <t>При обработке отдельных мест и штучных элементов добавлять: к расценке 69-10-2</t>
  </si>
  <si>
    <t>ТЕРр69-10-8</t>
  </si>
  <si>
    <t>При обработке отдельных мест и штучных элементов добавлять: к расценке 69-10-3</t>
  </si>
  <si>
    <t>ТЕРр69-10-9</t>
  </si>
  <si>
    <t>При обработке отдельных мест и штучных элементов добавлять: к расценке 69-10-4</t>
  </si>
  <si>
    <t>ТЕРр69-10-10</t>
  </si>
  <si>
    <t>При обработке отдельных мест и штучных элементов добавлять: к расценке 69-10-5</t>
  </si>
  <si>
    <t>ТЕРр69-10-11</t>
  </si>
  <si>
    <t>При двухкратной обработке лесоматериалов с перерывом на просушку после первой обработки добавлять: к расценке 69-10-1</t>
  </si>
  <si>
    <t>ТЕРр69-10-12</t>
  </si>
  <si>
    <t>При двухкратной обработке лесоматериалов с перерывом на просушку после первой обработки добавлять: к расценке 69-10-2</t>
  </si>
  <si>
    <t>ТЕРр69-10-13</t>
  </si>
  <si>
    <t>При двухкратной обработке лесоматериалов с перерывом на просушку после первой обработки добавлять: к расценке 69-10-3</t>
  </si>
  <si>
    <t>ТЕРр69-10-14</t>
  </si>
  <si>
    <t>При двухкратной обработке лесоматериалов с перерывом на просушку после первой обработки добавлять: к расценке 69-10-4</t>
  </si>
  <si>
    <t>ТЕРр69-10-15</t>
  </si>
  <si>
    <t>При двухкратной обработке лесоматериалов с перерывом на просушку после первой обработки добавлять: к расценке 69-10-5</t>
  </si>
  <si>
    <t>Раздел 11. Механизированное приготовление растворов в построечных условиях</t>
  </si>
  <si>
    <t>ТЕРр69-11-1</t>
  </si>
  <si>
    <t>Механизированное приготовление растворов в построечных условиях: цементных</t>
  </si>
  <si>
    <t>ТЕРр69-11-2</t>
  </si>
  <si>
    <t>Механизированное приготовление растворов в построечных условиях: известковых тяжелых</t>
  </si>
  <si>
    <t>ТЕРр69-11-3</t>
  </si>
  <si>
    <t>Механизированное приготовление растворов в построечных условиях: известковых легких</t>
  </si>
  <si>
    <t>ТЕРр69-11-4</t>
  </si>
  <si>
    <t>Механизированное приготовление растворов в построечных условиях: цементно-известковых тяжелых</t>
  </si>
  <si>
    <t>ТЕРр69-11-5</t>
  </si>
  <si>
    <t>Механизированное приготовление растворов в построечных условиях: цементно-известковых легких</t>
  </si>
  <si>
    <t>ТЕРр69-11-6</t>
  </si>
  <si>
    <t>Механизированное приготовление растворов в построечных условиях: цементно-известковых с минеральной крошкой</t>
  </si>
  <si>
    <t>ТЕРр69-11-7</t>
  </si>
  <si>
    <t>Механизированное приготовление растворов в построечных условиях: цементно-известковых с декоративной смесью</t>
  </si>
  <si>
    <t>Раздел 12. Приготовление растворов вручную</t>
  </si>
  <si>
    <t>ТЕРр69-12-1</t>
  </si>
  <si>
    <t>Приготовление растворов вручную: цементных</t>
  </si>
  <si>
    <t>ТЕРр69-12-2</t>
  </si>
  <si>
    <t>Приготовление растворов вручную: известковых тяжелых</t>
  </si>
  <si>
    <t>ТЕРр69-12-3</t>
  </si>
  <si>
    <t>Приготовление растворов вручную: известковых легких</t>
  </si>
  <si>
    <t>ТЕРр69-12-4</t>
  </si>
  <si>
    <t>Приготовление растворов вручную: цементно-известковых тяжелых</t>
  </si>
  <si>
    <t>ТЕРр69-12-5</t>
  </si>
  <si>
    <t>Приготовление растворов вручную: цементно-известковых легких</t>
  </si>
  <si>
    <t>ТЕРр69-12-6</t>
  </si>
  <si>
    <t>Приготовление растворов вручную: цементно-известковых с минеральной крошкой</t>
  </si>
  <si>
    <t>ТЕРр69-12-7</t>
  </si>
  <si>
    <t>Приготовление растворов вручную: цементно-известковых с декоративной смесью</t>
  </si>
  <si>
    <t>Раздел 13. Разогрев битумных материалов</t>
  </si>
  <si>
    <t>ТЕРр69-13-1</t>
  </si>
  <si>
    <t>Разогрев битумных материалов</t>
  </si>
  <si>
    <t>Раздел 14. Приготовление силаксанового клея</t>
  </si>
  <si>
    <t>ТЕРр69-14-1</t>
  </si>
  <si>
    <t>Приготовление силаксанового клея</t>
  </si>
  <si>
    <t>Раздел 15. Затаривание строительного мусора в мешки</t>
  </si>
  <si>
    <t>ТЕРр69-15-1</t>
  </si>
  <si>
    <t>Затаривание строительного мусора в мешки</t>
  </si>
  <si>
    <t>Раздел 16. Ремонт отмостки</t>
  </si>
  <si>
    <t>ТЕРр69-16-1</t>
  </si>
  <si>
    <t>Ремонт отмостки: асфальтобетонной толщиной 14 см</t>
  </si>
  <si>
    <t>ТЕРр69-16-2</t>
  </si>
  <si>
    <t>Ремонт отмостки: бетонной толщиной 15 см</t>
  </si>
  <si>
    <t>Раздел 17. Ремонт подкрановых путей мостовых кранов</t>
  </si>
  <si>
    <t>ТЕРр69-17-1</t>
  </si>
  <si>
    <t>Замена болтов крепления рельса к подкрановой балке</t>
  </si>
  <si>
    <t>ТЕРр69-17-2</t>
  </si>
  <si>
    <t>Нивелировка рельса подкранового пути</t>
  </si>
  <si>
    <t>ТЕРр69-17-3</t>
  </si>
  <si>
    <t>Нивелировка стальной подкрановой балки</t>
  </si>
  <si>
    <t>ТЕРр69-17-4</t>
  </si>
  <si>
    <t>Ремонт узлов крепления рельса к стальной подкрановой балке подкрановых путей</t>
  </si>
  <si>
    <t>ТЕРр69-17-5</t>
  </si>
  <si>
    <t>Ремонт узлов крепления подкрановой балки к опорной конструкции подкрановых путей</t>
  </si>
  <si>
    <t>ТЕРр69-17-6</t>
  </si>
  <si>
    <t>Замена анкерного крепления нижнего пояса стальной балки подкранового пути</t>
  </si>
  <si>
    <t>ТЕРр69-17-7</t>
  </si>
  <si>
    <t>Ремонт заземления подкрановых путей</t>
  </si>
  <si>
    <t>Раздел 18. Ремонт подкрановых путей козловых кранов</t>
  </si>
  <si>
    <t>ТЕРр69-18-1</t>
  </si>
  <si>
    <t>ТЕРр69-18-2</t>
  </si>
  <si>
    <t>ТЕРр69-18-3</t>
  </si>
  <si>
    <t>Ремонт узлов крепления рельса к подкрановой балке подкрановых путей</t>
  </si>
  <si>
    <t>ТЕРр69-18-4</t>
  </si>
  <si>
    <t>Раздел 19. Разборка бетонных и железобетонных конструкций при помощи отбойных молотков</t>
  </si>
  <si>
    <t>ТЕРр69-19-1</t>
  </si>
  <si>
    <t>Разборка горизонтальных поверхностей бетонных конструкций при помощи отбойных молотков, бетон марки: 100</t>
  </si>
  <si>
    <t>ТЕРр69-19-2</t>
  </si>
  <si>
    <t>Разборка горизонтальных поверхностей бетонных конструкций при помощи отбойных молотков, бетон марки: 150</t>
  </si>
  <si>
    <t>ТЕРр69-19-3</t>
  </si>
  <si>
    <t>Разборка горизонтальных поверхностей бетонных конструкций при помощи отбойных молотков, бетон марки: 200</t>
  </si>
  <si>
    <t>ТЕРр69-19-4</t>
  </si>
  <si>
    <t>Разборка горизонтальных поверхностей бетонных конструкций при помощи отбойных молотков, бетон марки: 250</t>
  </si>
  <si>
    <t>ТЕРр69-19-5</t>
  </si>
  <si>
    <t>Разборка горизонтальных поверхностей бетонных конструкций при помощи отбойных молотков, бетон марки: 300</t>
  </si>
  <si>
    <t>ТЕРр69-19-6</t>
  </si>
  <si>
    <t>Разборка горизонтальных поверхностей бетонных конструкций при помощи отбойных молотков, бетон марки: 350</t>
  </si>
  <si>
    <t>ТЕРр69-19-7</t>
  </si>
  <si>
    <t>Разборка горизонтальных поверхностей бетонных конструкций при помощи отбойных молотков, бетон марки: 400</t>
  </si>
  <si>
    <t>ТЕРр69-19-8</t>
  </si>
  <si>
    <t>Разборка вертикальных поверхностей бетонных конструкций при помощи отбойных молотков, бетон марки: 100</t>
  </si>
  <si>
    <t>ТЕРр69-19-9</t>
  </si>
  <si>
    <t>Разборка вертикальных поверхностей бетонных конструкций при помощи отбойных молотков, бетон марки: 150</t>
  </si>
  <si>
    <t>ТЕРр69-19-10</t>
  </si>
  <si>
    <t>Разборка вертикальных поверхностей бетонных конструкций при помощи отбойных молотков, бетон марки: 200</t>
  </si>
  <si>
    <t>ТЕРр69-19-11</t>
  </si>
  <si>
    <t>Разборка вертикальных поверхностей бетонных конструкций при помощи отбойных молотков, бетон марки: 250</t>
  </si>
  <si>
    <t>ТЕРр69-19-12</t>
  </si>
  <si>
    <t>Разборка вертикальных поверхностей бетонных конструкций при помощи отбойных молотков, бетон марки: 300</t>
  </si>
  <si>
    <t>ТЕРр69-19-13</t>
  </si>
  <si>
    <t>Разборка вертикальных поверхностей бетонных конструкций при помощи отбойных молотков, бетон марки: 350</t>
  </si>
  <si>
    <t>ТЕРр69-19-14</t>
  </si>
  <si>
    <t>Разборка вертикальных поверхностей бетонных конструкций при помощи отбойных молотков, бетон марки: 400</t>
  </si>
  <si>
    <t>ТЕРр69-19-15</t>
  </si>
  <si>
    <t>Разборка горизонтальных поверхностей железобетонных конструкций при помощи отбойных молотков, бетон марки: 100</t>
  </si>
  <si>
    <t>ТЕРр69-19-16</t>
  </si>
  <si>
    <t>Разборка горизонтальных поверхностей железобетонных конструкций при помощи отбойных молотков, бетон марки: 150</t>
  </si>
  <si>
    <t>ТЕРр69-19-17</t>
  </si>
  <si>
    <t>Разборка горизонтальных поверхностей железобетонных конструкций при помощи отбойных молотков, бетон марки: 200</t>
  </si>
  <si>
    <t>ТЕРр69-19-18</t>
  </si>
  <si>
    <t>Разборка горизонтальных поверхностей железобетонных конструкций при помощи отбойных молотков, бетон марки: 250</t>
  </si>
  <si>
    <t>ТЕРр69-19-19</t>
  </si>
  <si>
    <t>Разборка горизонтальных поверхностей железобетонных конструкций при помощи отбойных молотков, бетон марки: 300</t>
  </si>
  <si>
    <t>ТЕРр69-19-20</t>
  </si>
  <si>
    <t>Разборка горизонтальных поверхностей железобетонных конструкций при помощи отбойных молотков, бетон марки: 350</t>
  </si>
  <si>
    <t>ТЕРр69-19-21</t>
  </si>
  <si>
    <t>Разборка горизонтальных поверхностей железобетонных конструкций при помощи отбойных молотков, бетон марки: 400</t>
  </si>
  <si>
    <t>ТЕРр69-19-22</t>
  </si>
  <si>
    <t>Разборка вертикальных поверхностей железобетонных конструкций при помощи отбойных молотков, бетон марки: 100</t>
  </si>
  <si>
    <t>ТЕРр69-19-23</t>
  </si>
  <si>
    <t>Разборка вертикальных поверхностей железобетонных конструкций при помощи отбойных молотков, бетон марки: 150</t>
  </si>
  <si>
    <t>ТЕРр69-19-24</t>
  </si>
  <si>
    <t>Разборка вертикальных поверхностей железобетонных конструкций при помощи отбойных молотков, бетон марки: 200</t>
  </si>
  <si>
    <t>ТЕРр69-19-25</t>
  </si>
  <si>
    <t>Разборка вертикальных поверхностей железобетонных конструкций при помощи отбойных молотков, бетон марки: 250</t>
  </si>
  <si>
    <t>ТЕРр69-19-26</t>
  </si>
  <si>
    <t>Разборка вертикальных поверхностей железобетонных конструкций при помощи отбойных молотков, бетон марки: 300</t>
  </si>
  <si>
    <t>ТЕРр69-19-27</t>
  </si>
  <si>
    <t>Разборка вертикальных поверхностей железобетонных конструкций при помощи отбойных молотков, бетон марки: 350</t>
  </si>
  <si>
    <t>ТЕРр69-19-28</t>
  </si>
  <si>
    <t>Разборка вертикальных поверхностей железобетонных конструкций при помощи отбойных молотков, бетон марки: 400</t>
  </si>
  <si>
    <t>Раздел 20. Ремонт запани</t>
  </si>
  <si>
    <t>ТЕРр69-50-1</t>
  </si>
  <si>
    <t>Замена стального монтажного троса запани</t>
  </si>
  <si>
    <t>ТЕРр69-50-2</t>
  </si>
  <si>
    <t>Замена стального лежневого троса запани</t>
  </si>
  <si>
    <t>ТЕРр69-50-3</t>
  </si>
  <si>
    <t>Ремонт мест разрыва стального монтажного троса</t>
  </si>
  <si>
    <t>ТЕРр69-50-4</t>
  </si>
  <si>
    <t>Замена бракета понтона</t>
  </si>
  <si>
    <t>ТЕРр69-50-5</t>
  </si>
  <si>
    <t>Замена трубы понтона</t>
  </si>
  <si>
    <t>ТЕРр69-50-6</t>
  </si>
  <si>
    <t>Окраска понтона запани</t>
  </si>
  <si>
    <t>ТЕРр69-50-7</t>
  </si>
  <si>
    <t>Замена хомутов крепления монтажного троса к понтонам запани</t>
  </si>
  <si>
    <t>ТЕРр69-50-8</t>
  </si>
  <si>
    <t>Замена прижимной планки лежневого троса с креплением</t>
  </si>
  <si>
    <t>2 квартал 2017 год.</t>
  </si>
  <si>
    <t xml:space="preserve">ИНДЕКСЫ ИЗМЕНЕНИЯ СМЕТНОЙ СТОИМОСТИ РЕМОНТНО-СТРОИТЕЛЬНЫХ РАБОТ К ТЕРр - 2001                                                                                                           (РЕДАКЦИЯ 2014 ГОДА )               </t>
  </si>
</sst>
</file>

<file path=xl/styles.xml><?xml version="1.0" encoding="utf-8"?>
<styleSheet xmlns="http://schemas.openxmlformats.org/spreadsheetml/2006/main">
  <numFmts count="1">
    <numFmt numFmtId="164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i/>
      <sz val="9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9"/>
      <name val="Arial"/>
      <family val="2"/>
      <charset val="204"/>
    </font>
    <font>
      <sz val="10"/>
      <name val="Arial Cyr"/>
      <charset val="204"/>
    </font>
    <font>
      <sz val="18"/>
      <name val="Arial"/>
      <family val="2"/>
      <charset val="204"/>
    </font>
    <font>
      <i/>
      <sz val="10"/>
      <name val="Arial Cyr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7">
    <xf numFmtId="0" fontId="0" fillId="0" borderId="0"/>
    <xf numFmtId="0" fontId="2" fillId="0" borderId="1">
      <alignment horizontal="center"/>
    </xf>
    <xf numFmtId="0" fontId="1" fillId="0" borderId="0">
      <alignment vertical="top"/>
    </xf>
    <xf numFmtId="0" fontId="2" fillId="0" borderId="1">
      <alignment horizontal="center"/>
    </xf>
    <xf numFmtId="0" fontId="2" fillId="0" borderId="0">
      <alignment vertical="top"/>
    </xf>
    <xf numFmtId="0" fontId="2" fillId="0" borderId="0">
      <alignment horizontal="right" vertical="top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1">
      <alignment horizontal="center"/>
    </xf>
    <xf numFmtId="0" fontId="1" fillId="0" borderId="0">
      <alignment vertical="top"/>
    </xf>
    <xf numFmtId="0" fontId="2" fillId="0" borderId="0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 wrapText="1"/>
    </xf>
    <xf numFmtId="0" fontId="2" fillId="0" borderId="0">
      <alignment horizontal="center"/>
    </xf>
    <xf numFmtId="0" fontId="2" fillId="0" borderId="0">
      <alignment horizontal="left" vertical="top"/>
    </xf>
    <xf numFmtId="0" fontId="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</cellStyleXfs>
  <cellXfs count="449">
    <xf numFmtId="0" fontId="0" fillId="0" borderId="0" xfId="0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1" xfId="0" quotePrefix="1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" xfId="0" quotePrefix="1" applyFont="1" applyBorder="1" applyAlignment="1">
      <alignment horizontal="center" vertical="top" wrapText="1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NumberFormat="1" applyFont="1" applyAlignment="1">
      <alignment horizontal="right" vertical="top" wrapText="1"/>
    </xf>
    <xf numFmtId="0" fontId="5" fillId="0" borderId="0" xfId="0" applyNumberFormat="1" applyFont="1" applyAlignment="1">
      <alignment horizontal="right" vertical="top"/>
    </xf>
    <xf numFmtId="0" fontId="5" fillId="0" borderId="2" xfId="0" applyFont="1" applyBorder="1" applyAlignment="1">
      <alignment horizontal="left" vertical="top" wrapText="1"/>
    </xf>
    <xf numFmtId="0" fontId="7" fillId="0" borderId="2" xfId="0" quotePrefix="1" applyFont="1" applyBorder="1" applyAlignment="1">
      <alignment horizontal="center" vertical="top"/>
    </xf>
    <xf numFmtId="0" fontId="5" fillId="0" borderId="2" xfId="0" applyNumberFormat="1" applyFont="1" applyBorder="1" applyAlignment="1">
      <alignment horizontal="right" vertical="top" wrapText="1"/>
    </xf>
    <xf numFmtId="0" fontId="5" fillId="0" borderId="2" xfId="0" applyNumberFormat="1" applyFont="1" applyBorder="1" applyAlignment="1">
      <alignment horizontal="right" vertical="top"/>
    </xf>
    <xf numFmtId="0" fontId="7" fillId="0" borderId="2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right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8" fillId="0" borderId="0" xfId="0" quotePrefix="1" applyFont="1" applyAlignment="1">
      <alignment horizontal="center" vertical="top"/>
    </xf>
    <xf numFmtId="0" fontId="5" fillId="0" borderId="1" xfId="12" applyNumberFormat="1" applyFont="1" applyBorder="1" applyAlignment="1">
      <alignment horizontal="center"/>
    </xf>
    <xf numFmtId="0" fontId="5" fillId="0" borderId="1" xfId="12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5" fillId="0" borderId="1" xfId="12" applyNumberFormat="1" applyFont="1" applyBorder="1" applyAlignment="1">
      <alignment horizont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quotePrefix="1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vertical="top"/>
    </xf>
    <xf numFmtId="164" fontId="10" fillId="0" borderId="1" xfId="0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0" fontId="1" fillId="0" borderId="1" xfId="10" applyBorder="1" applyAlignment="1">
      <alignment vertical="top"/>
    </xf>
    <xf numFmtId="0" fontId="1" fillId="0" borderId="1" xfId="11" applyBorder="1" applyAlignment="1">
      <alignment vertical="top"/>
    </xf>
    <xf numFmtId="164" fontId="0" fillId="0" borderId="1" xfId="0" applyNumberFormat="1" applyBorder="1" applyAlignment="1">
      <alignment horizontal="right" vertical="top"/>
    </xf>
    <xf numFmtId="0" fontId="5" fillId="0" borderId="3" xfId="12" applyNumberFormat="1" applyFont="1" applyBorder="1" applyAlignment="1">
      <alignment horizontal="center"/>
    </xf>
    <xf numFmtId="0" fontId="5" fillId="0" borderId="3" xfId="12" applyNumberFormat="1" applyFont="1" applyBorder="1" applyAlignment="1">
      <alignment horizontal="center" wrapText="1"/>
    </xf>
    <xf numFmtId="0" fontId="5" fillId="0" borderId="3" xfId="12" applyNumberFormat="1" applyFont="1" applyBorder="1" applyAlignment="1">
      <alignment horizontal="center" vertical="center" wrapText="1"/>
    </xf>
    <xf numFmtId="0" fontId="2" fillId="0" borderId="3" xfId="12" applyBorder="1">
      <alignment horizontal="center"/>
    </xf>
    <xf numFmtId="0" fontId="5" fillId="0" borderId="9" xfId="0" applyFont="1" applyBorder="1"/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5" fillId="0" borderId="1" xfId="0" applyFont="1" applyBorder="1"/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5" fillId="0" borderId="3" xfId="0" applyFont="1" applyBorder="1"/>
    <xf numFmtId="0" fontId="13" fillId="0" borderId="1" xfId="12" applyNumberFormat="1" applyFont="1" applyBorder="1" applyAlignment="1">
      <alignment horizontal="center" wrapText="1"/>
    </xf>
    <xf numFmtId="0" fontId="6" fillId="0" borderId="9" xfId="0" applyFont="1" applyBorder="1"/>
    <xf numFmtId="0" fontId="13" fillId="0" borderId="9" xfId="0" applyFont="1" applyBorder="1"/>
    <xf numFmtId="0" fontId="5" fillId="0" borderId="9" xfId="0" applyFont="1" applyBorder="1" applyAlignment="1">
      <alignment horizontal="left"/>
    </xf>
    <xf numFmtId="0" fontId="5" fillId="0" borderId="8" xfId="0" applyFont="1" applyBorder="1"/>
    <xf numFmtId="0" fontId="0" fillId="0" borderId="0" xfId="0"/>
    <xf numFmtId="0" fontId="5" fillId="0" borderId="0" xfId="0" applyFont="1" applyAlignment="1">
      <alignment horizontal="center" vertical="top"/>
    </xf>
    <xf numFmtId="0" fontId="5" fillId="0" borderId="0" xfId="0" applyFont="1"/>
    <xf numFmtId="0" fontId="5" fillId="0" borderId="1" xfId="0" applyFont="1" applyBorder="1" applyAlignment="1">
      <alignment horizontal="center" vertical="top" wrapText="1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5" fillId="0" borderId="1" xfId="0" applyFont="1" applyBorder="1"/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5" fillId="0" borderId="3" xfId="0" applyFont="1" applyBorder="1"/>
    <xf numFmtId="0" fontId="0" fillId="0" borderId="0" xfId="0"/>
    <xf numFmtId="0" fontId="5" fillId="0" borderId="0" xfId="0" applyFont="1" applyAlignment="1">
      <alignment horizontal="center" vertical="top"/>
    </xf>
    <xf numFmtId="0" fontId="5" fillId="0" borderId="0" xfId="0" applyFont="1"/>
    <xf numFmtId="0" fontId="5" fillId="0" borderId="1" xfId="0" applyFont="1" applyBorder="1" applyAlignment="1">
      <alignment horizontal="center" vertical="top" wrapText="1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5" fillId="0" borderId="1" xfId="0" applyFont="1" applyBorder="1"/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5" fillId="0" borderId="3" xfId="0" applyFont="1" applyBorder="1"/>
    <xf numFmtId="0" fontId="0" fillId="0" borderId="0" xfId="0"/>
    <xf numFmtId="0" fontId="5" fillId="0" borderId="0" xfId="0" applyFont="1" applyAlignment="1">
      <alignment horizontal="center" vertical="top"/>
    </xf>
    <xf numFmtId="0" fontId="5" fillId="0" borderId="0" xfId="0" applyFont="1"/>
    <xf numFmtId="0" fontId="5" fillId="0" borderId="1" xfId="0" applyFont="1" applyBorder="1" applyAlignment="1">
      <alignment horizontal="center" vertical="top" wrapText="1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5" fillId="0" borderId="1" xfId="0" applyFont="1" applyBorder="1"/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5" fillId="0" borderId="3" xfId="0" applyFont="1" applyBorder="1"/>
    <xf numFmtId="0" fontId="0" fillId="0" borderId="0" xfId="0"/>
    <xf numFmtId="0" fontId="5" fillId="0" borderId="0" xfId="0" applyFont="1" applyAlignment="1">
      <alignment horizontal="center" vertical="top"/>
    </xf>
    <xf numFmtId="0" fontId="5" fillId="0" borderId="0" xfId="0" applyFont="1"/>
    <xf numFmtId="0" fontId="5" fillId="0" borderId="1" xfId="0" applyFont="1" applyBorder="1" applyAlignment="1">
      <alignment horizontal="center" vertical="top" wrapText="1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5" fillId="0" borderId="1" xfId="0" applyFont="1" applyBorder="1"/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5" fillId="0" borderId="3" xfId="0" applyFont="1" applyBorder="1"/>
    <xf numFmtId="0" fontId="0" fillId="0" borderId="0" xfId="0"/>
    <xf numFmtId="0" fontId="5" fillId="0" borderId="0" xfId="0" applyFont="1" applyAlignment="1">
      <alignment horizontal="center" vertical="top"/>
    </xf>
    <xf numFmtId="0" fontId="5" fillId="0" borderId="0" xfId="0" applyFont="1"/>
    <xf numFmtId="0" fontId="5" fillId="0" borderId="1" xfId="0" applyFont="1" applyBorder="1" applyAlignment="1">
      <alignment horizontal="center" vertical="top" wrapText="1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5" fillId="0" borderId="1" xfId="0" applyFont="1" applyBorder="1"/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5" fillId="0" borderId="3" xfId="0" applyFont="1" applyBorder="1"/>
    <xf numFmtId="0" fontId="0" fillId="0" borderId="0" xfId="0"/>
    <xf numFmtId="0" fontId="5" fillId="0" borderId="0" xfId="0" applyFont="1" applyAlignment="1">
      <alignment horizontal="center" vertical="top"/>
    </xf>
    <xf numFmtId="0" fontId="5" fillId="0" borderId="0" xfId="0" applyFont="1"/>
    <xf numFmtId="0" fontId="5" fillId="0" borderId="1" xfId="0" applyFont="1" applyBorder="1" applyAlignment="1">
      <alignment horizontal="center" vertical="top" wrapText="1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5" fillId="0" borderId="1" xfId="0" applyFont="1" applyBorder="1"/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5" fillId="0" borderId="3" xfId="0" applyFont="1" applyBorder="1"/>
    <xf numFmtId="0" fontId="0" fillId="0" borderId="0" xfId="0"/>
    <xf numFmtId="0" fontId="5" fillId="0" borderId="0" xfId="0" applyFont="1" applyAlignment="1">
      <alignment horizontal="center" vertical="top"/>
    </xf>
    <xf numFmtId="0" fontId="5" fillId="0" borderId="0" xfId="0" applyFont="1"/>
    <xf numFmtId="0" fontId="5" fillId="0" borderId="1" xfId="0" applyFont="1" applyBorder="1" applyAlignment="1">
      <alignment horizontal="center" vertical="top" wrapText="1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5" fillId="0" borderId="1" xfId="0" applyFont="1" applyBorder="1"/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5" fillId="0" borderId="3" xfId="0" applyFont="1" applyBorder="1"/>
    <xf numFmtId="0" fontId="0" fillId="0" borderId="0" xfId="0"/>
    <xf numFmtId="0" fontId="5" fillId="0" borderId="0" xfId="0" applyFont="1" applyAlignment="1">
      <alignment horizontal="center" vertical="top"/>
    </xf>
    <xf numFmtId="0" fontId="5" fillId="0" borderId="0" xfId="0" applyFont="1"/>
    <xf numFmtId="0" fontId="5" fillId="0" borderId="1" xfId="0" applyFont="1" applyBorder="1" applyAlignment="1">
      <alignment horizontal="center" vertical="top" wrapText="1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5" fillId="0" borderId="1" xfId="0" applyFont="1" applyBorder="1"/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5" fillId="0" borderId="3" xfId="0" applyFont="1" applyBorder="1"/>
    <xf numFmtId="0" fontId="0" fillId="0" borderId="0" xfId="0"/>
    <xf numFmtId="0" fontId="5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5" fillId="0" borderId="1" xfId="0" applyFont="1" applyBorder="1"/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5" fillId="0" borderId="3" xfId="0" applyFont="1" applyBorder="1"/>
    <xf numFmtId="0" fontId="0" fillId="0" borderId="0" xfId="0"/>
    <xf numFmtId="0" fontId="5" fillId="0" borderId="0" xfId="0" applyFont="1" applyAlignment="1">
      <alignment horizontal="center" vertical="top"/>
    </xf>
    <xf numFmtId="0" fontId="5" fillId="0" borderId="0" xfId="0" applyFont="1"/>
    <xf numFmtId="0" fontId="5" fillId="0" borderId="1" xfId="0" applyFont="1" applyBorder="1" applyAlignment="1">
      <alignment horizontal="center" vertical="top" wrapText="1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5" fillId="0" borderId="1" xfId="0" applyFont="1" applyBorder="1"/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5" fillId="0" borderId="3" xfId="0" applyFont="1" applyBorder="1"/>
    <xf numFmtId="0" fontId="0" fillId="0" borderId="0" xfId="0"/>
    <xf numFmtId="0" fontId="5" fillId="0" borderId="0" xfId="0" applyFont="1" applyAlignment="1">
      <alignment horizontal="center" vertical="top"/>
    </xf>
    <xf numFmtId="0" fontId="5" fillId="0" borderId="0" xfId="0" applyFont="1"/>
    <xf numFmtId="0" fontId="5" fillId="0" borderId="1" xfId="0" applyFont="1" applyBorder="1" applyAlignment="1">
      <alignment horizontal="center" vertical="top" wrapText="1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5" fillId="0" borderId="1" xfId="0" applyFont="1" applyBorder="1"/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5" fillId="0" borderId="3" xfId="0" applyFont="1" applyBorder="1"/>
    <xf numFmtId="0" fontId="0" fillId="0" borderId="0" xfId="0"/>
    <xf numFmtId="0" fontId="5" fillId="0" borderId="0" xfId="0" applyFont="1" applyAlignment="1">
      <alignment horizontal="center" vertical="top"/>
    </xf>
    <xf numFmtId="0" fontId="5" fillId="0" borderId="0" xfId="0" applyFont="1"/>
    <xf numFmtId="0" fontId="5" fillId="0" borderId="1" xfId="0" applyFont="1" applyBorder="1" applyAlignment="1">
      <alignment horizontal="center" vertical="top" wrapText="1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5" fillId="0" borderId="1" xfId="0" applyFont="1" applyBorder="1"/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5" fillId="0" borderId="3" xfId="0" applyFont="1" applyBorder="1"/>
    <xf numFmtId="0" fontId="0" fillId="0" borderId="0" xfId="0"/>
    <xf numFmtId="0" fontId="5" fillId="0" borderId="0" xfId="0" applyFont="1" applyAlignment="1">
      <alignment horizontal="center" vertical="top"/>
    </xf>
    <xf numFmtId="0" fontId="5" fillId="0" borderId="0" xfId="0" applyFont="1"/>
    <xf numFmtId="0" fontId="5" fillId="0" borderId="1" xfId="0" applyFont="1" applyBorder="1" applyAlignment="1">
      <alignment horizontal="center" vertical="top" wrapText="1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5" fillId="0" borderId="1" xfId="0" applyFont="1" applyBorder="1"/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5" fillId="0" borderId="3" xfId="0" applyFont="1" applyBorder="1"/>
    <xf numFmtId="0" fontId="0" fillId="0" borderId="0" xfId="0"/>
    <xf numFmtId="0" fontId="5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5" fillId="0" borderId="1" xfId="0" applyFont="1" applyBorder="1"/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5" fillId="0" borderId="3" xfId="0" applyFont="1" applyBorder="1"/>
    <xf numFmtId="2" fontId="5" fillId="0" borderId="10" xfId="0" applyNumberFormat="1" applyFont="1" applyBorder="1"/>
    <xf numFmtId="2" fontId="5" fillId="0" borderId="9" xfId="0" applyNumberFormat="1" applyFont="1" applyBorder="1"/>
    <xf numFmtId="2" fontId="5" fillId="0" borderId="6" xfId="0" applyNumberFormat="1" applyFont="1" applyBorder="1"/>
    <xf numFmtId="2" fontId="5" fillId="0" borderId="5" xfId="0" applyNumberFormat="1" applyFont="1" applyBorder="1"/>
    <xf numFmtId="2" fontId="11" fillId="0" borderId="7" xfId="0" applyNumberFormat="1" applyFont="1" applyBorder="1" applyAlignment="1">
      <alignment horizontal="right" vertical="top"/>
    </xf>
    <xf numFmtId="2" fontId="11" fillId="0" borderId="0" xfId="0" applyNumberFormat="1" applyFont="1" applyAlignment="1">
      <alignment horizontal="right" vertical="top"/>
    </xf>
    <xf numFmtId="2" fontId="11" fillId="0" borderId="3" xfId="0" applyNumberFormat="1" applyFont="1" applyBorder="1" applyAlignment="1">
      <alignment horizontal="right" vertical="top"/>
    </xf>
    <xf numFmtId="2" fontId="11" fillId="0" borderId="1" xfId="0" applyNumberFormat="1" applyFont="1" applyBorder="1" applyAlignment="1">
      <alignment horizontal="right" vertical="top"/>
    </xf>
    <xf numFmtId="2" fontId="5" fillId="0" borderId="1" xfId="12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1" xfId="0" quotePrefix="1" applyNumberFormat="1" applyFont="1" applyBorder="1" applyAlignment="1">
      <alignment horizontal="center" vertical="top" wrapText="1"/>
    </xf>
    <xf numFmtId="2" fontId="5" fillId="0" borderId="0" xfId="0" applyNumberFormat="1" applyFont="1"/>
    <xf numFmtId="0" fontId="0" fillId="0" borderId="0" xfId="0"/>
    <xf numFmtId="0" fontId="5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5" fillId="0" borderId="1" xfId="0" applyFont="1" applyBorder="1"/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5" fillId="0" borderId="3" xfId="0" applyFont="1" applyBorder="1"/>
    <xf numFmtId="2" fontId="5" fillId="0" borderId="1" xfId="12" applyNumberFormat="1" applyFont="1" applyBorder="1" applyAlignment="1">
      <alignment horizontal="center"/>
    </xf>
    <xf numFmtId="0" fontId="0" fillId="0" borderId="0" xfId="0"/>
    <xf numFmtId="0" fontId="5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5" fillId="0" borderId="1" xfId="0" applyFont="1" applyBorder="1"/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5" fillId="0" borderId="3" xfId="0" applyFont="1" applyBorder="1"/>
    <xf numFmtId="0" fontId="0" fillId="0" borderId="0" xfId="0"/>
    <xf numFmtId="0" fontId="5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5" fillId="0" borderId="1" xfId="0" applyFont="1" applyBorder="1"/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5" fillId="0" borderId="3" xfId="0" applyFont="1" applyBorder="1"/>
    <xf numFmtId="1" fontId="5" fillId="0" borderId="3" xfId="12" applyNumberFormat="1" applyFont="1" applyBorder="1" applyAlignment="1">
      <alignment horizontal="center"/>
    </xf>
    <xf numFmtId="1" fontId="5" fillId="0" borderId="3" xfId="12" applyNumberFormat="1" applyFont="1" applyBorder="1" applyAlignment="1">
      <alignment horizontal="center" vertical="center" wrapText="1"/>
    </xf>
    <xf numFmtId="0" fontId="16" fillId="0" borderId="0" xfId="0" applyFont="1"/>
    <xf numFmtId="0" fontId="13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5" fillId="0" borderId="12" xfId="0" applyFont="1" applyBorder="1" applyAlignment="1">
      <alignment horizontal="center" vertical="justify"/>
    </xf>
    <xf numFmtId="0" fontId="15" fillId="0" borderId="13" xfId="0" applyFont="1" applyBorder="1" applyAlignment="1">
      <alignment horizontal="center" vertical="justify"/>
    </xf>
    <xf numFmtId="0" fontId="15" fillId="0" borderId="14" xfId="0" applyFont="1" applyBorder="1" applyAlignment="1">
      <alignment horizontal="center" vertical="justify"/>
    </xf>
    <xf numFmtId="0" fontId="15" fillId="0" borderId="18" xfId="0" applyFont="1" applyBorder="1" applyAlignment="1">
      <alignment horizontal="center" vertical="justify"/>
    </xf>
    <xf numFmtId="0" fontId="15" fillId="0" borderId="0" xfId="0" applyFont="1" applyBorder="1" applyAlignment="1">
      <alignment horizontal="center" vertical="justify"/>
    </xf>
    <xf numFmtId="0" fontId="15" fillId="0" borderId="19" xfId="0" applyFont="1" applyBorder="1" applyAlignment="1">
      <alignment horizontal="center" vertical="justify"/>
    </xf>
    <xf numFmtId="0" fontId="15" fillId="0" borderId="15" xfId="0" applyFont="1" applyBorder="1" applyAlignment="1">
      <alignment horizontal="center" vertical="justify"/>
    </xf>
    <xf numFmtId="0" fontId="15" fillId="0" borderId="16" xfId="0" applyFont="1" applyBorder="1" applyAlignment="1">
      <alignment horizontal="center" vertical="justify"/>
    </xf>
    <xf numFmtId="0" fontId="15" fillId="0" borderId="17" xfId="0" applyFont="1" applyBorder="1" applyAlignment="1">
      <alignment horizontal="center" vertical="justify"/>
    </xf>
    <xf numFmtId="0" fontId="5" fillId="0" borderId="1" xfId="0" quotePrefix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5" fillId="0" borderId="1" xfId="0" quotePrefix="1" applyNumberFormat="1" applyFont="1" applyBorder="1" applyAlignment="1">
      <alignment horizontal="center" vertical="center" wrapText="1"/>
    </xf>
  </cellXfs>
  <cellStyles count="27">
    <cellStyle name="Акт" xfId="1"/>
    <cellStyle name="АктМТСН" xfId="2"/>
    <cellStyle name="АктМТСН 2" xfId="21"/>
    <cellStyle name="ВедРесурсов" xfId="3"/>
    <cellStyle name="ВедРесурсовАкт" xfId="4"/>
    <cellStyle name="Итоги" xfId="5"/>
    <cellStyle name="ИтогоАктБазЦ" xfId="6"/>
    <cellStyle name="ИтогоАктБИМ" xfId="7"/>
    <cellStyle name="ИтогоАктБИМ 2" xfId="22"/>
    <cellStyle name="ИтогоАктРесМет" xfId="8"/>
    <cellStyle name="ИтогоАктРесМет 2" xfId="23"/>
    <cellStyle name="ИтогоБазЦ" xfId="9"/>
    <cellStyle name="ИтогоБИМ" xfId="10"/>
    <cellStyle name="ИтогоБИМ 2" xfId="24"/>
    <cellStyle name="ИтогоРесМет" xfId="11"/>
    <cellStyle name="ИтогоРесМет 2" xfId="25"/>
    <cellStyle name="ЛокСмета" xfId="12"/>
    <cellStyle name="ЛокСмМТСН" xfId="13"/>
    <cellStyle name="ЛокСмМТСН 2" xfId="26"/>
    <cellStyle name="Обычный" xfId="0" builtinId="0"/>
    <cellStyle name="Параметр" xfId="14"/>
    <cellStyle name="ПеременныеСметы" xfId="15"/>
    <cellStyle name="РесСмета" xfId="16"/>
    <cellStyle name="СводкаСтоимРаб" xfId="17"/>
    <cellStyle name="Титул" xfId="18"/>
    <cellStyle name="Хвост" xfId="19"/>
    <cellStyle name="Экспертиза" xfId="2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116"/>
  <sheetViews>
    <sheetView tabSelected="1" topLeftCell="B2743" zoomScaleNormal="90" workbookViewId="0">
      <selection activeCell="V2758" sqref="V2758"/>
    </sheetView>
  </sheetViews>
  <sheetFormatPr defaultRowHeight="12"/>
  <cols>
    <col min="1" max="1" width="4.85546875" style="3" hidden="1" customWidth="1"/>
    <col min="2" max="2" width="14.7109375" style="9" customWidth="1"/>
    <col min="3" max="3" width="42.85546875" style="3" customWidth="1"/>
    <col min="4" max="7" width="9.5703125" style="3" hidden="1" customWidth="1"/>
    <col min="8" max="11" width="9.5703125" style="8" hidden="1" customWidth="1"/>
    <col min="12" max="15" width="11.28515625" style="361" customWidth="1"/>
    <col min="16" max="17" width="0" style="3" hidden="1" customWidth="1"/>
    <col min="18" max="18" width="9.140625" style="3" hidden="1" customWidth="1"/>
    <col min="19" max="19" width="0" style="3" hidden="1" customWidth="1"/>
    <col min="20" max="16384" width="9.140625" style="3"/>
  </cols>
  <sheetData>
    <row r="1" spans="1:23" ht="12.75" customHeight="1">
      <c r="B1" s="437" t="s">
        <v>5553</v>
      </c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9"/>
      <c r="P1"/>
    </row>
    <row r="2" spans="1:23" ht="12" customHeight="1">
      <c r="A2" s="1"/>
      <c r="B2" s="440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2"/>
    </row>
    <row r="3" spans="1:23" ht="12" customHeight="1">
      <c r="A3" s="1"/>
      <c r="B3" s="440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2"/>
    </row>
    <row r="4" spans="1:23" ht="12" customHeight="1">
      <c r="A4" s="1"/>
      <c r="B4" s="440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2"/>
    </row>
    <row r="5" spans="1:23" ht="12.75" customHeight="1" thickBot="1">
      <c r="A5" s="1" t="s">
        <v>8</v>
      </c>
      <c r="B5" s="443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5"/>
    </row>
    <row r="6" spans="1:23">
      <c r="A6" s="19"/>
      <c r="B6" s="420" t="s">
        <v>5552</v>
      </c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2"/>
    </row>
    <row r="7" spans="1:23" ht="12.75" thickBot="1">
      <c r="A7" s="1"/>
      <c r="B7" s="423"/>
      <c r="C7" s="424"/>
      <c r="D7" s="424"/>
      <c r="E7" s="424"/>
      <c r="F7" s="424"/>
      <c r="G7" s="424"/>
      <c r="H7" s="424"/>
      <c r="I7" s="424"/>
      <c r="J7" s="424"/>
      <c r="K7" s="424"/>
      <c r="L7" s="424"/>
      <c r="M7" s="424"/>
      <c r="N7" s="424"/>
      <c r="O7" s="425"/>
    </row>
    <row r="8" spans="1:23" ht="12" customHeight="1">
      <c r="A8" s="433" t="s">
        <v>9</v>
      </c>
      <c r="B8" s="430" t="s">
        <v>11</v>
      </c>
      <c r="C8" s="430" t="s">
        <v>10</v>
      </c>
      <c r="D8" s="435" t="s">
        <v>5</v>
      </c>
      <c r="E8" s="436"/>
      <c r="F8" s="436"/>
      <c r="G8" s="436"/>
      <c r="H8" s="435" t="s">
        <v>7</v>
      </c>
      <c r="I8" s="436"/>
      <c r="J8" s="436"/>
      <c r="K8" s="436"/>
      <c r="L8" s="432" t="s">
        <v>6</v>
      </c>
      <c r="M8" s="432"/>
      <c r="N8" s="432"/>
      <c r="O8" s="432"/>
    </row>
    <row r="9" spans="1:23" ht="36">
      <c r="A9" s="434"/>
      <c r="B9" s="431"/>
      <c r="C9" s="431"/>
      <c r="D9" s="5" t="s">
        <v>2</v>
      </c>
      <c r="E9" s="6" t="s">
        <v>3</v>
      </c>
      <c r="F9" s="7" t="s">
        <v>17</v>
      </c>
      <c r="G9" s="4" t="s">
        <v>4</v>
      </c>
      <c r="H9" s="5" t="s">
        <v>2</v>
      </c>
      <c r="I9" s="6" t="s">
        <v>3</v>
      </c>
      <c r="J9" s="7" t="s">
        <v>17</v>
      </c>
      <c r="K9" s="4" t="s">
        <v>4</v>
      </c>
      <c r="L9" s="360" t="s">
        <v>2</v>
      </c>
      <c r="M9" s="359" t="s">
        <v>3</v>
      </c>
      <c r="N9" s="360" t="s">
        <v>17</v>
      </c>
      <c r="O9" s="359" t="s">
        <v>4</v>
      </c>
      <c r="W9" s="419"/>
    </row>
    <row r="10" spans="1:23" ht="12.75">
      <c r="A10" s="41">
        <v>1</v>
      </c>
      <c r="B10" s="42">
        <v>1</v>
      </c>
      <c r="C10" s="42">
        <v>2</v>
      </c>
      <c r="D10" s="41">
        <v>4</v>
      </c>
      <c r="E10" s="41">
        <v>5</v>
      </c>
      <c r="F10" s="41">
        <v>6</v>
      </c>
      <c r="G10" s="43">
        <v>7</v>
      </c>
      <c r="H10" s="41">
        <v>8</v>
      </c>
      <c r="I10" s="41">
        <v>9</v>
      </c>
      <c r="J10" s="41">
        <v>10</v>
      </c>
      <c r="K10" s="43">
        <v>11</v>
      </c>
      <c r="L10" s="417">
        <v>3</v>
      </c>
      <c r="M10" s="417">
        <v>4</v>
      </c>
      <c r="N10" s="417">
        <v>5</v>
      </c>
      <c r="O10" s="418">
        <v>6</v>
      </c>
      <c r="R10" s="44"/>
    </row>
    <row r="11" spans="1:23" ht="23.25">
      <c r="A11" s="22"/>
      <c r="B11" s="26"/>
      <c r="C11" s="57" t="s">
        <v>61</v>
      </c>
      <c r="D11" s="22"/>
      <c r="E11" s="22"/>
      <c r="F11" s="22"/>
      <c r="G11" s="23"/>
      <c r="H11" s="22"/>
      <c r="I11" s="22"/>
      <c r="J11" s="22"/>
      <c r="K11" s="23"/>
      <c r="L11" s="380"/>
      <c r="M11" s="380"/>
      <c r="N11" s="380"/>
      <c r="O11" s="358"/>
      <c r="R11" s="44"/>
    </row>
    <row r="12" spans="1:23" ht="17.850000000000001" customHeight="1">
      <c r="A12" s="428" t="s">
        <v>19</v>
      </c>
      <c r="B12" s="429"/>
      <c r="C12" s="429"/>
      <c r="D12" s="429"/>
      <c r="E12" s="429"/>
      <c r="F12" s="429"/>
      <c r="G12" s="429"/>
      <c r="H12" s="429"/>
      <c r="I12" s="429"/>
      <c r="J12" s="429"/>
      <c r="K12" s="429"/>
      <c r="L12" s="429"/>
      <c r="M12" s="429"/>
      <c r="N12" s="429"/>
      <c r="O12" s="429"/>
      <c r="P12" s="429"/>
      <c r="Q12" s="429"/>
      <c r="R12" s="429"/>
    </row>
    <row r="13" spans="1:23" ht="24">
      <c r="A13" s="46">
        <v>51.1</v>
      </c>
      <c r="B13" s="4" t="s">
        <v>20</v>
      </c>
      <c r="C13" s="47" t="s">
        <v>21</v>
      </c>
      <c r="D13" s="48">
        <v>8586.1299999999992</v>
      </c>
      <c r="E13" s="48">
        <v>6216.44</v>
      </c>
      <c r="F13" s="48">
        <v>10.49</v>
      </c>
      <c r="G13" s="48">
        <v>2359.1999999999998</v>
      </c>
      <c r="H13" s="49">
        <v>91823.22</v>
      </c>
      <c r="I13" s="49">
        <f>81127.21</f>
        <v>81127.210000000006</v>
      </c>
      <c r="J13" s="49">
        <v>53.07</v>
      </c>
      <c r="K13" s="49">
        <v>10642.94</v>
      </c>
      <c r="L13" s="357">
        <f>IF(8586.13=0, "-", 91823.22/8586.13)</f>
        <v>10.694366379265166</v>
      </c>
      <c r="M13" s="357">
        <f>IF(6216.44=0, "-", Лист1!B2)</f>
        <v>13.05</v>
      </c>
      <c r="N13" s="357">
        <f>IF(10.49=0, "-", 53.07/10.49)</f>
        <v>5.0591039084842704</v>
      </c>
      <c r="O13" s="357">
        <f>IF(2359.2=0, "-", 10642.94/2359.2)</f>
        <v>4.5112495761275015</v>
      </c>
      <c r="P13" s="50"/>
      <c r="Q13" s="50"/>
      <c r="R13" s="50">
        <f ca="1">IF(ISERROR(VALUE(TRIM(INDIRECT(ADDRESS(ROW()-1, COLUMN(A12)))))), INDIRECT(ADDRESS(ROW()-2, COLUMN(R12)))+1, INDIRECT(ADDRESS(ROW()-1, COLUMN(R12))))</f>
        <v>1</v>
      </c>
    </row>
    <row r="14" spans="1:23" ht="24">
      <c r="A14" s="46">
        <v>51.2</v>
      </c>
      <c r="B14" s="4" t="s">
        <v>22</v>
      </c>
      <c r="C14" s="47" t="s">
        <v>23</v>
      </c>
      <c r="D14" s="48">
        <v>5768.75</v>
      </c>
      <c r="E14" s="48">
        <v>4661.7700000000004</v>
      </c>
      <c r="F14" s="48">
        <v>5.25</v>
      </c>
      <c r="G14" s="48">
        <v>1101.73</v>
      </c>
      <c r="H14" s="49">
        <v>65835.240000000005</v>
      </c>
      <c r="I14" s="49">
        <f>60838.11</f>
        <v>60838.11</v>
      </c>
      <c r="J14" s="49">
        <v>26.53</v>
      </c>
      <c r="K14" s="49">
        <v>4970.6000000000004</v>
      </c>
      <c r="L14" s="357">
        <f>IF(5768.75=0, "-", 65835.24/5768.75)</f>
        <v>11.412392632719394</v>
      </c>
      <c r="M14" s="357">
        <f>IF(4661.77=0, "-", Лист1!B2)</f>
        <v>13.05</v>
      </c>
      <c r="N14" s="357">
        <f>IF(5.25=0, "-", 26.53/5.25)</f>
        <v>5.0533333333333337</v>
      </c>
      <c r="O14" s="357">
        <f>IF(1101.73=0, "-", 4970.6/1101.73)</f>
        <v>4.5116317064979627</v>
      </c>
      <c r="P14" s="50"/>
      <c r="Q14" s="50"/>
      <c r="R14" s="50">
        <f ca="1">IF(ISERROR(VALUE(TRIM(INDIRECT(ADDRESS(ROW()-1, COLUMN(A12)))))), INDIRECT(ADDRESS(ROW()-2, COLUMN(R12)))+1, INDIRECT(ADDRESS(ROW()-1, COLUMN(R12))))</f>
        <v>1</v>
      </c>
    </row>
    <row r="15" spans="1:23" ht="24">
      <c r="A15" s="46">
        <v>51.3</v>
      </c>
      <c r="B15" s="4" t="s">
        <v>24</v>
      </c>
      <c r="C15" s="47" t="s">
        <v>25</v>
      </c>
      <c r="D15" s="48">
        <v>10006.68</v>
      </c>
      <c r="E15" s="48">
        <v>7006.22</v>
      </c>
      <c r="F15" s="48">
        <v>20.98</v>
      </c>
      <c r="G15" s="48">
        <v>2979.48</v>
      </c>
      <c r="H15" s="49">
        <v>105033.24</v>
      </c>
      <c r="I15" s="49">
        <f>91434.14</f>
        <v>91434.14</v>
      </c>
      <c r="J15" s="49">
        <v>106.13</v>
      </c>
      <c r="K15" s="49">
        <v>13492.97</v>
      </c>
      <c r="L15" s="357">
        <f>IF(10006.68=0, "-", 105033.24/10006.68)</f>
        <v>10.496312463274533</v>
      </c>
      <c r="M15" s="357">
        <f>IF(7006.22=0, "-", Лист1!B2)</f>
        <v>13.05</v>
      </c>
      <c r="N15" s="357">
        <f>IF(20.98=0, "-", 106.13/20.98)</f>
        <v>5.0586272640610099</v>
      </c>
      <c r="O15" s="357">
        <f>IF(2979.48=0, "-", 13492.97/2979.48)</f>
        <v>4.5286325130559693</v>
      </c>
      <c r="P15" s="50"/>
      <c r="Q15" s="50"/>
      <c r="R15" s="50">
        <f ca="1">IF(ISERROR(VALUE(TRIM(INDIRECT(ADDRESS(ROW()-1, COLUMN(A12)))))), INDIRECT(ADDRESS(ROW()-2, COLUMN(R12)))+1, INDIRECT(ADDRESS(ROW()-1, COLUMN(R12))))</f>
        <v>1</v>
      </c>
    </row>
    <row r="16" spans="1:23" ht="24">
      <c r="A16" s="46">
        <v>51.4</v>
      </c>
      <c r="B16" s="4" t="s">
        <v>26</v>
      </c>
      <c r="C16" s="47" t="s">
        <v>27</v>
      </c>
      <c r="D16" s="48">
        <v>6778.1</v>
      </c>
      <c r="E16" s="48">
        <v>5659.1</v>
      </c>
      <c r="F16" s="48">
        <v>6.29</v>
      </c>
      <c r="G16" s="48">
        <v>1112.71</v>
      </c>
      <c r="H16" s="49">
        <v>78924.78</v>
      </c>
      <c r="I16" s="49">
        <f>73853.74</f>
        <v>73853.740000000005</v>
      </c>
      <c r="J16" s="49">
        <v>31.84</v>
      </c>
      <c r="K16" s="49">
        <v>5039.2</v>
      </c>
      <c r="L16" s="357">
        <f>IF(6778.1=0, "-", 78924.78/6778.1)</f>
        <v>11.644086100824714</v>
      </c>
      <c r="M16" s="357">
        <f>IF(5659.1=0, "-", Лист1!B2)</f>
        <v>13.05</v>
      </c>
      <c r="N16" s="357">
        <f>IF(6.29=0, "-", 31.84/6.29)</f>
        <v>5.0620031796502385</v>
      </c>
      <c r="O16" s="357">
        <f>IF(1112.71=0, "-", 5039.2/1112.71)</f>
        <v>4.5287631098848751</v>
      </c>
      <c r="P16" s="50"/>
      <c r="Q16" s="50"/>
      <c r="R16" s="50">
        <f ca="1">IF(ISERROR(VALUE(TRIM(INDIRECT(ADDRESS(ROW()-1, COLUMN(A12)))))), INDIRECT(ADDRESS(ROW()-2, COLUMN(R12)))+1, INDIRECT(ADDRESS(ROW()-1, COLUMN(R12))))</f>
        <v>1</v>
      </c>
    </row>
    <row r="17" spans="1:18" ht="24">
      <c r="A17" s="46">
        <v>51.5</v>
      </c>
      <c r="B17" s="4" t="s">
        <v>28</v>
      </c>
      <c r="C17" s="47" t="s">
        <v>29</v>
      </c>
      <c r="D17" s="48">
        <v>6675.34</v>
      </c>
      <c r="E17" s="48">
        <v>4838.01</v>
      </c>
      <c r="F17" s="48">
        <v>10.49</v>
      </c>
      <c r="G17" s="48">
        <v>1826.84</v>
      </c>
      <c r="H17" s="49">
        <v>71728.81</v>
      </c>
      <c r="I17" s="49">
        <f>63138.13</f>
        <v>63138.13</v>
      </c>
      <c r="J17" s="49">
        <v>53.07</v>
      </c>
      <c r="K17" s="49">
        <v>8537.61</v>
      </c>
      <c r="L17" s="357">
        <f>IF(6675.34=0, "-", 71728.81/6675.34)</f>
        <v>10.745341810304794</v>
      </c>
      <c r="M17" s="357">
        <f>IF(4838.01=0, "-", Лист1!B2)</f>
        <v>13.05</v>
      </c>
      <c r="N17" s="357">
        <f>IF(10.49=0, "-", 53.07/10.49)</f>
        <v>5.0591039084842704</v>
      </c>
      <c r="O17" s="357">
        <f>IF(1826.84=0, "-", 8537.61/1826.84)</f>
        <v>4.6734306233715053</v>
      </c>
      <c r="P17" s="50"/>
      <c r="Q17" s="50"/>
      <c r="R17" s="50">
        <f ca="1">IF(ISERROR(VALUE(TRIM(INDIRECT(ADDRESS(ROW()-1, COLUMN(A12)))))), INDIRECT(ADDRESS(ROW()-2, COLUMN(R12)))+1, INDIRECT(ADDRESS(ROW()-1, COLUMN(R12))))</f>
        <v>1</v>
      </c>
    </row>
    <row r="18" spans="1:18" ht="24">
      <c r="A18" s="46">
        <v>51.6</v>
      </c>
      <c r="B18" s="4" t="s">
        <v>30</v>
      </c>
      <c r="C18" s="47" t="s">
        <v>31</v>
      </c>
      <c r="D18" s="48">
        <v>5892.14</v>
      </c>
      <c r="E18" s="48">
        <v>4777.43</v>
      </c>
      <c r="F18" s="48">
        <v>6.29</v>
      </c>
      <c r="G18" s="48">
        <v>1108.42</v>
      </c>
      <c r="H18" s="49">
        <v>67498.11</v>
      </c>
      <c r="I18" s="49">
        <f>62347.54</f>
        <v>62347.54</v>
      </c>
      <c r="J18" s="49">
        <v>31.84</v>
      </c>
      <c r="K18" s="49">
        <v>5118.7299999999996</v>
      </c>
      <c r="L18" s="357">
        <f>IF(5892.14=0, "-", 67498.11/5892.14)</f>
        <v>11.455618841371725</v>
      </c>
      <c r="M18" s="357">
        <f>IF(4777.43=0, "-", Лист1!B2)</f>
        <v>13.05</v>
      </c>
      <c r="N18" s="357">
        <f>IF(6.29=0, "-", 31.84/6.29)</f>
        <v>5.0620031796502385</v>
      </c>
      <c r="O18" s="357">
        <f>IF(1108.42=0, "-", 5118.73/1108.42)</f>
        <v>4.6180418974756856</v>
      </c>
      <c r="P18" s="50"/>
      <c r="Q18" s="50"/>
      <c r="R18" s="50">
        <f ca="1">IF(ISERROR(VALUE(TRIM(INDIRECT(ADDRESS(ROW()-1, COLUMN(A12)))))), INDIRECT(ADDRESS(ROW()-2, COLUMN(R12)))+1, INDIRECT(ADDRESS(ROW()-1, COLUMN(R12))))</f>
        <v>1</v>
      </c>
    </row>
    <row r="19" spans="1:18" ht="24">
      <c r="A19" s="51">
        <v>51.7</v>
      </c>
      <c r="B19" s="52" t="s">
        <v>32</v>
      </c>
      <c r="C19" s="53" t="s">
        <v>33</v>
      </c>
      <c r="D19" s="54">
        <v>5150.24</v>
      </c>
      <c r="E19" s="54">
        <v>4348.71</v>
      </c>
      <c r="F19" s="54">
        <v>5.25</v>
      </c>
      <c r="G19" s="54">
        <v>796.28</v>
      </c>
      <c r="H19" s="55">
        <v>60395.26</v>
      </c>
      <c r="I19" s="55">
        <f>56752.56</f>
        <v>56752.56</v>
      </c>
      <c r="J19" s="55">
        <v>26.53</v>
      </c>
      <c r="K19" s="55">
        <v>3616.17</v>
      </c>
      <c r="L19" s="356">
        <f>IF(5150.24=0, "-", 60395.26/5150.24)</f>
        <v>11.726688465003573</v>
      </c>
      <c r="M19" s="356">
        <f>IF(4348.71=0, "-", Лист1!B2)</f>
        <v>13.05</v>
      </c>
      <c r="N19" s="356">
        <f>IF(5.25=0, "-", 26.53/5.25)</f>
        <v>5.0533333333333337</v>
      </c>
      <c r="O19" s="356">
        <f>IF(796.28=0, "-", 3616.17/796.28)</f>
        <v>4.5413296830260714</v>
      </c>
      <c r="P19" s="56"/>
      <c r="Q19" s="56"/>
      <c r="R19" s="56">
        <f ca="1">IF(ISERROR(VALUE(TRIM(INDIRECT(ADDRESS(ROW()-1, COLUMN(A12)))))), INDIRECT(ADDRESS(ROW()-2, COLUMN(R12)))+1, INDIRECT(ADDRESS(ROW()-1, COLUMN(R12))))</f>
        <v>1</v>
      </c>
    </row>
    <row r="20" spans="1:18" ht="17.850000000000001" customHeight="1">
      <c r="A20" s="428" t="s">
        <v>34</v>
      </c>
      <c r="B20" s="429"/>
      <c r="C20" s="429"/>
      <c r="D20" s="429"/>
      <c r="E20" s="429"/>
      <c r="F20" s="429"/>
      <c r="G20" s="429"/>
      <c r="H20" s="429"/>
      <c r="I20" s="429"/>
      <c r="J20" s="429"/>
      <c r="K20" s="429"/>
      <c r="L20" s="429"/>
      <c r="M20" s="429"/>
      <c r="N20" s="429"/>
      <c r="O20" s="429"/>
      <c r="P20" s="429"/>
      <c r="Q20" s="429"/>
      <c r="R20" s="429"/>
    </row>
    <row r="21" spans="1:18" ht="36">
      <c r="A21" s="46">
        <v>51.8</v>
      </c>
      <c r="B21" s="4" t="s">
        <v>35</v>
      </c>
      <c r="C21" s="47" t="s">
        <v>36</v>
      </c>
      <c r="D21" s="48">
        <v>5857.29</v>
      </c>
      <c r="E21" s="48">
        <v>4112.97</v>
      </c>
      <c r="F21" s="48">
        <v>1.05</v>
      </c>
      <c r="G21" s="48">
        <v>1743.27</v>
      </c>
      <c r="H21" s="49">
        <v>61542.22</v>
      </c>
      <c r="I21" s="49">
        <f>53672.26</f>
        <v>53672.26</v>
      </c>
      <c r="J21" s="49">
        <v>5.31</v>
      </c>
      <c r="K21" s="49">
        <v>7864.65</v>
      </c>
      <c r="L21" s="357">
        <f>IF(5857.29=0, "-", 61542.22/5857.29)</f>
        <v>10.506944337739808</v>
      </c>
      <c r="M21" s="357">
        <f>IF(4112.97=0, "-", Лист1!B2)</f>
        <v>13.05</v>
      </c>
      <c r="N21" s="357">
        <f>IF(1.05=0, "-", 5.31/1.05)</f>
        <v>5.0571428571428569</v>
      </c>
      <c r="O21" s="357">
        <f>IF(1743.27=0, "-", 7864.65/1743.27)</f>
        <v>4.5114354058751651</v>
      </c>
      <c r="P21" s="50"/>
      <c r="Q21" s="50"/>
      <c r="R21" s="50">
        <f ca="1">IF(ISERROR(VALUE(TRIM(INDIRECT(ADDRESS(ROW()-1, COLUMN(A12)))))), INDIRECT(ADDRESS(ROW()-2, COLUMN(R12)))+1, INDIRECT(ADDRESS(ROW()-1, COLUMN(R12))))</f>
        <v>2</v>
      </c>
    </row>
    <row r="22" spans="1:18" ht="36">
      <c r="A22" s="46">
        <v>51.9</v>
      </c>
      <c r="B22" s="4" t="s">
        <v>37</v>
      </c>
      <c r="C22" s="47" t="s">
        <v>38</v>
      </c>
      <c r="D22" s="48">
        <v>8069.04</v>
      </c>
      <c r="E22" s="48">
        <v>6324.72</v>
      </c>
      <c r="F22" s="48">
        <v>1.05</v>
      </c>
      <c r="G22" s="48">
        <v>1743.27</v>
      </c>
      <c r="H22" s="49">
        <v>90408.16</v>
      </c>
      <c r="I22" s="49">
        <f>82538.2</f>
        <v>82538.2</v>
      </c>
      <c r="J22" s="49">
        <v>5.31</v>
      </c>
      <c r="K22" s="49">
        <v>7864.65</v>
      </c>
      <c r="L22" s="357">
        <f>IF(8069.04=0, "-", 90408.16/8069.04)</f>
        <v>11.204326660916292</v>
      </c>
      <c r="M22" s="357">
        <f>IF(6324.72=0, "-", Лист1!B2)</f>
        <v>13.05</v>
      </c>
      <c r="N22" s="357">
        <f>IF(1.05=0, "-", 5.31/1.05)</f>
        <v>5.0571428571428569</v>
      </c>
      <c r="O22" s="357">
        <f>IF(1743.27=0, "-", 7864.65/1743.27)</f>
        <v>4.5114354058751651</v>
      </c>
      <c r="P22" s="50"/>
      <c r="Q22" s="50"/>
      <c r="R22" s="50">
        <f ca="1">IF(ISERROR(VALUE(TRIM(INDIRECT(ADDRESS(ROW()-1, COLUMN(A12)))))), INDIRECT(ADDRESS(ROW()-2, COLUMN(R12)))+1, INDIRECT(ADDRESS(ROW()-1, COLUMN(R12))))</f>
        <v>2</v>
      </c>
    </row>
    <row r="23" spans="1:18" ht="36">
      <c r="A23" s="46">
        <v>51.1</v>
      </c>
      <c r="B23" s="4" t="s">
        <v>39</v>
      </c>
      <c r="C23" s="47" t="s">
        <v>40</v>
      </c>
      <c r="D23" s="48">
        <v>3289.34</v>
      </c>
      <c r="E23" s="48">
        <v>3288.29</v>
      </c>
      <c r="F23" s="48">
        <v>1.05</v>
      </c>
      <c r="G23" s="48"/>
      <c r="H23" s="49">
        <v>42915.87</v>
      </c>
      <c r="I23" s="49">
        <f>42910.56</f>
        <v>42910.559999999998</v>
      </c>
      <c r="J23" s="49">
        <v>5.31</v>
      </c>
      <c r="K23" s="49"/>
      <c r="L23" s="357">
        <f>IF(3289.34=0, "-", 42915.87/3289.34)</f>
        <v>13.046954708239342</v>
      </c>
      <c r="M23" s="357">
        <f>IF(3288.29=0, "-", Лист1!B2)</f>
        <v>13.05</v>
      </c>
      <c r="N23" s="357">
        <f>IF(1.05=0, "-", 5.31/1.05)</f>
        <v>5.0571428571428569</v>
      </c>
      <c r="O23" s="357" t="str">
        <f>IF(0=0, "-", 0/0)</f>
        <v>-</v>
      </c>
      <c r="P23" s="50"/>
      <c r="Q23" s="50"/>
      <c r="R23" s="50">
        <f ca="1">IF(ISERROR(VALUE(TRIM(INDIRECT(ADDRESS(ROW()-1, COLUMN(A12)))))), INDIRECT(ADDRESS(ROW()-2, COLUMN(R12)))+1, INDIRECT(ADDRESS(ROW()-1, COLUMN(R12))))</f>
        <v>2</v>
      </c>
    </row>
    <row r="24" spans="1:18" ht="36">
      <c r="A24" s="51">
        <v>51.11</v>
      </c>
      <c r="B24" s="52" t="s">
        <v>41</v>
      </c>
      <c r="C24" s="53" t="s">
        <v>42</v>
      </c>
      <c r="D24" s="54">
        <v>5027.68</v>
      </c>
      <c r="E24" s="54">
        <v>5026.63</v>
      </c>
      <c r="F24" s="54">
        <v>1.05</v>
      </c>
      <c r="G24" s="54"/>
      <c r="H24" s="55">
        <v>65603.3</v>
      </c>
      <c r="I24" s="55">
        <f>65597.99</f>
        <v>65597.990000000005</v>
      </c>
      <c r="J24" s="55">
        <v>5.31</v>
      </c>
      <c r="K24" s="55"/>
      <c r="L24" s="356">
        <f>IF(5027.68=0, "-", 65603.3/5027.68)</f>
        <v>13.048423925150367</v>
      </c>
      <c r="M24" s="356">
        <f>IF(5026.63=0, "-", Лист1!B2)</f>
        <v>13.05</v>
      </c>
      <c r="N24" s="356">
        <f>IF(1.05=0, "-", 5.31/1.05)</f>
        <v>5.0571428571428569</v>
      </c>
      <c r="O24" s="356" t="str">
        <f>IF(0=0, "-", 0/0)</f>
        <v>-</v>
      </c>
      <c r="P24" s="56"/>
      <c r="Q24" s="56"/>
      <c r="R24" s="56">
        <f ca="1">IF(ISERROR(VALUE(TRIM(INDIRECT(ADDRESS(ROW()-1, COLUMN(A12)))))), INDIRECT(ADDRESS(ROW()-2, COLUMN(R12)))+1, INDIRECT(ADDRESS(ROW()-1, COLUMN(R12))))</f>
        <v>2</v>
      </c>
    </row>
    <row r="25" spans="1:18" ht="17.850000000000001" customHeight="1">
      <c r="A25" s="428" t="s">
        <v>43</v>
      </c>
      <c r="B25" s="429"/>
      <c r="C25" s="429"/>
      <c r="D25" s="429"/>
      <c r="E25" s="429"/>
      <c r="F25" s="429"/>
      <c r="G25" s="429"/>
      <c r="H25" s="429"/>
      <c r="I25" s="429"/>
      <c r="J25" s="429"/>
      <c r="K25" s="429"/>
      <c r="L25" s="429"/>
      <c r="M25" s="429"/>
      <c r="N25" s="429"/>
      <c r="O25" s="429"/>
      <c r="P25" s="429"/>
      <c r="Q25" s="429"/>
      <c r="R25" s="429"/>
    </row>
    <row r="26" spans="1:18" ht="24">
      <c r="A26" s="46">
        <v>51.12</v>
      </c>
      <c r="B26" s="4" t="s">
        <v>44</v>
      </c>
      <c r="C26" s="47" t="s">
        <v>45</v>
      </c>
      <c r="D26" s="48">
        <v>4753.3599999999997</v>
      </c>
      <c r="E26" s="48">
        <v>4417.68</v>
      </c>
      <c r="F26" s="48">
        <v>2.1</v>
      </c>
      <c r="G26" s="48">
        <v>333.58</v>
      </c>
      <c r="H26" s="49">
        <v>59244.27</v>
      </c>
      <c r="I26" s="49">
        <f>57652.62</f>
        <v>57652.62</v>
      </c>
      <c r="J26" s="49">
        <v>10.61</v>
      </c>
      <c r="K26" s="49">
        <v>1581.04</v>
      </c>
      <c r="L26" s="357">
        <f>IF(4753.36=0, "-", 59244.27/4753.36)</f>
        <v>12.463661494185166</v>
      </c>
      <c r="M26" s="357">
        <f>IF(4417.68=0, "-", Лист1!B2)</f>
        <v>13.05</v>
      </c>
      <c r="N26" s="357">
        <f>IF(2.1=0, "-", 10.61/2.1)</f>
        <v>5.0523809523809522</v>
      </c>
      <c r="O26" s="357">
        <f>IF(333.58=0, "-", 1581.04/333.58)</f>
        <v>4.739612686611907</v>
      </c>
      <c r="P26" s="50"/>
      <c r="Q26" s="50"/>
      <c r="R26" s="50">
        <f ca="1">IF(ISERROR(VALUE(TRIM(INDIRECT(ADDRESS(ROW()-1, COLUMN(A12)))))), INDIRECT(ADDRESS(ROW()-2, COLUMN(R12)))+1, INDIRECT(ADDRESS(ROW()-1, COLUMN(R12))))</f>
        <v>3</v>
      </c>
    </row>
    <row r="27" spans="1:18" ht="24">
      <c r="A27" s="51">
        <v>51.13</v>
      </c>
      <c r="B27" s="52" t="s">
        <v>46</v>
      </c>
      <c r="C27" s="53" t="s">
        <v>47</v>
      </c>
      <c r="D27" s="54">
        <v>5928.03</v>
      </c>
      <c r="E27" s="54">
        <v>5769.08</v>
      </c>
      <c r="F27" s="54">
        <v>2.1</v>
      </c>
      <c r="G27" s="54">
        <v>156.85</v>
      </c>
      <c r="H27" s="55">
        <v>76044.28</v>
      </c>
      <c r="I27" s="55">
        <f>75288.97</f>
        <v>75288.97</v>
      </c>
      <c r="J27" s="55">
        <v>10.61</v>
      </c>
      <c r="K27" s="55">
        <v>744.7</v>
      </c>
      <c r="L27" s="356">
        <f>IF(5928.03=0, "-", 76044.28/5928.03)</f>
        <v>12.827917537529331</v>
      </c>
      <c r="M27" s="356">
        <f>IF(5769.08=0, "-", Лист1!B2)</f>
        <v>13.05</v>
      </c>
      <c r="N27" s="356">
        <f>IF(2.1=0, "-", 10.61/2.1)</f>
        <v>5.0523809523809522</v>
      </c>
      <c r="O27" s="356">
        <f>IF(156.85=0, "-", 744.7/156.85)</f>
        <v>4.7478482626713427</v>
      </c>
      <c r="P27" s="56"/>
      <c r="Q27" s="56"/>
      <c r="R27" s="56">
        <f ca="1">IF(ISERROR(VALUE(TRIM(INDIRECT(ADDRESS(ROW()-1, COLUMN(A12)))))), INDIRECT(ADDRESS(ROW()-2, COLUMN(R12)))+1, INDIRECT(ADDRESS(ROW()-1, COLUMN(R12))))</f>
        <v>3</v>
      </c>
    </row>
    <row r="28" spans="1:18" ht="17.850000000000001" customHeight="1">
      <c r="A28" s="428" t="s">
        <v>48</v>
      </c>
      <c r="B28" s="429"/>
      <c r="C28" s="429"/>
      <c r="D28" s="429"/>
      <c r="E28" s="429"/>
      <c r="F28" s="429"/>
      <c r="G28" s="429"/>
      <c r="H28" s="429"/>
      <c r="I28" s="429"/>
      <c r="J28" s="429"/>
      <c r="K28" s="429"/>
      <c r="L28" s="429"/>
      <c r="M28" s="429"/>
      <c r="N28" s="429"/>
      <c r="O28" s="429"/>
      <c r="P28" s="429"/>
      <c r="Q28" s="429"/>
      <c r="R28" s="429"/>
    </row>
    <row r="29" spans="1:18" ht="24">
      <c r="A29" s="46">
        <v>51.14</v>
      </c>
      <c r="B29" s="4" t="s">
        <v>49</v>
      </c>
      <c r="C29" s="47" t="s">
        <v>50</v>
      </c>
      <c r="D29" s="48">
        <v>2446.6</v>
      </c>
      <c r="E29" s="48">
        <v>2446.6</v>
      </c>
      <c r="F29" s="48"/>
      <c r="G29" s="48"/>
      <c r="H29" s="49">
        <v>31928</v>
      </c>
      <c r="I29" s="49">
        <f>31928</f>
        <v>31928</v>
      </c>
      <c r="J29" s="49"/>
      <c r="K29" s="49"/>
      <c r="L29" s="357">
        <f>IF(2446.6=0, "-", 31928/2446.6)</f>
        <v>13.049946865037194</v>
      </c>
      <c r="M29" s="357">
        <f>IF(2446.6=0, "-", Лист1!B2)</f>
        <v>13.05</v>
      </c>
      <c r="N29" s="357" t="str">
        <f>IF(0=0, "-", 0/0)</f>
        <v>-</v>
      </c>
      <c r="O29" s="357" t="str">
        <f>IF(0=0, "-", 0/0)</f>
        <v>-</v>
      </c>
      <c r="P29" s="50"/>
      <c r="Q29" s="50"/>
      <c r="R29" s="50">
        <f ca="1">IF(ISERROR(VALUE(TRIM(INDIRECT(ADDRESS(ROW()-1, COLUMN(A12)))))), INDIRECT(ADDRESS(ROW()-2, COLUMN(R12)))+1, INDIRECT(ADDRESS(ROW()-1, COLUMN(R12))))</f>
        <v>4</v>
      </c>
    </row>
    <row r="30" spans="1:18" ht="24">
      <c r="A30" s="51">
        <v>51.15</v>
      </c>
      <c r="B30" s="52" t="s">
        <v>51</v>
      </c>
      <c r="C30" s="53" t="s">
        <v>52</v>
      </c>
      <c r="D30" s="54">
        <v>5221.6099999999997</v>
      </c>
      <c r="E30" s="54">
        <v>5221.6099999999997</v>
      </c>
      <c r="F30" s="54"/>
      <c r="G30" s="54"/>
      <c r="H30" s="55">
        <v>68141.72</v>
      </c>
      <c r="I30" s="55">
        <f>68141.72</f>
        <v>68141.72</v>
      </c>
      <c r="J30" s="55"/>
      <c r="K30" s="55"/>
      <c r="L30" s="356">
        <f>IF(5221.61=0, "-", 68141.72/5221.61)</f>
        <v>13.049944365818206</v>
      </c>
      <c r="M30" s="356">
        <f>IF(5221.61=0, "-", Лист1!B2)</f>
        <v>13.05</v>
      </c>
      <c r="N30" s="356" t="str">
        <f>IF(0=0, "-", 0/0)</f>
        <v>-</v>
      </c>
      <c r="O30" s="356" t="str">
        <f>IF(0=0, "-", 0/0)</f>
        <v>-</v>
      </c>
      <c r="P30" s="56"/>
      <c r="Q30" s="56"/>
      <c r="R30" s="56">
        <f ca="1">IF(ISERROR(VALUE(TRIM(INDIRECT(ADDRESS(ROW()-1, COLUMN(A12)))))), INDIRECT(ADDRESS(ROW()-2, COLUMN(R12)))+1, INDIRECT(ADDRESS(ROW()-1, COLUMN(R12))))</f>
        <v>4</v>
      </c>
    </row>
    <row r="31" spans="1:18" ht="17.850000000000001" customHeight="1">
      <c r="A31" s="428" t="s">
        <v>53</v>
      </c>
      <c r="B31" s="429"/>
      <c r="C31" s="429"/>
      <c r="D31" s="429"/>
      <c r="E31" s="429"/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29"/>
    </row>
    <row r="32" spans="1:18" ht="24">
      <c r="A32" s="46">
        <v>51.16</v>
      </c>
      <c r="B32" s="4" t="s">
        <v>54</v>
      </c>
      <c r="C32" s="47" t="s">
        <v>55</v>
      </c>
      <c r="D32" s="48">
        <v>3477.16</v>
      </c>
      <c r="E32" s="48">
        <v>1641.77</v>
      </c>
      <c r="F32" s="48">
        <v>1835.39</v>
      </c>
      <c r="G32" s="48"/>
      <c r="H32" s="49">
        <v>31596.54</v>
      </c>
      <c r="I32" s="49">
        <f>21424.32</f>
        <v>21424.32</v>
      </c>
      <c r="J32" s="49">
        <v>10172.219999999999</v>
      </c>
      <c r="K32" s="49"/>
      <c r="L32" s="357">
        <f>IF(3477.16=0, "-", 31596.54/3477.16)</f>
        <v>9.086881247914965</v>
      </c>
      <c r="M32" s="357">
        <f>IF(1641.77=0, "-", Лист1!B2)</f>
        <v>13.05</v>
      </c>
      <c r="N32" s="357">
        <f>IF(1835.39=0, "-", 10172.22/1835.39)</f>
        <v>5.5422662213480507</v>
      </c>
      <c r="O32" s="357" t="str">
        <f>IF(0=0, "-", 0/0)</f>
        <v>-</v>
      </c>
      <c r="P32" s="50"/>
      <c r="Q32" s="50"/>
      <c r="R32" s="50">
        <f ca="1">IF(ISERROR(VALUE(TRIM(INDIRECT(ADDRESS(ROW()-1, COLUMN(A12)))))), INDIRECT(ADDRESS(ROW()-2, COLUMN(R12)))+1, INDIRECT(ADDRESS(ROW()-1, COLUMN(R12))))</f>
        <v>5</v>
      </c>
    </row>
    <row r="33" spans="1:18" ht="24">
      <c r="A33" s="51">
        <v>51.17</v>
      </c>
      <c r="B33" s="52" t="s">
        <v>56</v>
      </c>
      <c r="C33" s="53" t="s">
        <v>57</v>
      </c>
      <c r="D33" s="54">
        <v>1683.71</v>
      </c>
      <c r="E33" s="54">
        <v>1571.47</v>
      </c>
      <c r="F33" s="54">
        <v>112.24</v>
      </c>
      <c r="G33" s="54"/>
      <c r="H33" s="55">
        <v>21544.83</v>
      </c>
      <c r="I33" s="55">
        <f>20507.6</f>
        <v>20507.599999999999</v>
      </c>
      <c r="J33" s="55">
        <v>1037.23</v>
      </c>
      <c r="K33" s="55"/>
      <c r="L33" s="356">
        <f>IF(1683.71=0, "-", 21544.83/1683.71)</f>
        <v>12.79604563731284</v>
      </c>
      <c r="M33" s="356">
        <f>IF(1571.47=0, "-", Лист1!B2)</f>
        <v>13.05</v>
      </c>
      <c r="N33" s="356">
        <f>IF(112.24=0, "-", 1037.23/112.24)</f>
        <v>9.2411796151104788</v>
      </c>
      <c r="O33" s="356" t="str">
        <f>IF(0=0, "-", 0/0)</f>
        <v>-</v>
      </c>
      <c r="P33" s="56"/>
      <c r="Q33" s="56"/>
      <c r="R33" s="56">
        <f ca="1">IF(ISERROR(VALUE(TRIM(INDIRECT(ADDRESS(ROW()-1, COLUMN(A12)))))), INDIRECT(ADDRESS(ROW()-2, COLUMN(R12)))+1, INDIRECT(ADDRESS(ROW()-1, COLUMN(R12))))</f>
        <v>5</v>
      </c>
    </row>
    <row r="34" spans="1:18" ht="17.850000000000001" customHeight="1">
      <c r="A34" s="428" t="s">
        <v>58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29"/>
      <c r="Q34" s="429"/>
      <c r="R34" s="429"/>
    </row>
    <row r="35" spans="1:18" ht="24">
      <c r="A35" s="46">
        <v>51.18</v>
      </c>
      <c r="B35" s="4" t="s">
        <v>59</v>
      </c>
      <c r="C35" s="47" t="s">
        <v>60</v>
      </c>
      <c r="D35" s="48">
        <v>6219.86</v>
      </c>
      <c r="E35" s="48">
        <v>725.42</v>
      </c>
      <c r="F35" s="48">
        <v>5494.44</v>
      </c>
      <c r="G35" s="48"/>
      <c r="H35" s="49">
        <v>37421.760000000002</v>
      </c>
      <c r="I35" s="49">
        <f>9466.98</f>
        <v>9466.98</v>
      </c>
      <c r="J35" s="49">
        <v>27954.78</v>
      </c>
      <c r="K35" s="49"/>
      <c r="L35" s="357">
        <f>IF(6219.86=0, "-", 37421.76/6219.86)</f>
        <v>6.0164955481313092</v>
      </c>
      <c r="M35" s="357">
        <f>IF(725.42=0, "-", Лист1!B2)</f>
        <v>13.05</v>
      </c>
      <c r="N35" s="357">
        <f>IF(5494.44=0, "-", 27954.78/5494.44)</f>
        <v>5.0878306069408348</v>
      </c>
      <c r="O35" s="357" t="str">
        <f>IF(0=0, "-", 0/0)</f>
        <v>-</v>
      </c>
      <c r="P35" s="50"/>
      <c r="Q35" s="50"/>
      <c r="R35" s="50">
        <f ca="1">IF(ISERROR(VALUE(TRIM(INDIRECT(ADDRESS(ROW()-1, COLUMN(A12)))))), INDIRECT(ADDRESS(ROW()-2, COLUMN(R12)))+1, INDIRECT(ADDRESS(ROW()-1, COLUMN(R12))))</f>
        <v>6</v>
      </c>
    </row>
    <row r="36" spans="1:18">
      <c r="A36" s="1"/>
      <c r="B36" s="28"/>
      <c r="C36" s="27"/>
      <c r="D36" s="29"/>
      <c r="E36" s="29"/>
      <c r="F36" s="29"/>
      <c r="G36" s="29"/>
      <c r="H36" s="30"/>
      <c r="I36" s="30"/>
      <c r="J36" s="30"/>
      <c r="K36" s="30"/>
      <c r="L36" s="355"/>
      <c r="M36" s="355"/>
      <c r="N36" s="355"/>
      <c r="O36" s="354"/>
    </row>
    <row r="37" spans="1:18">
      <c r="O37" s="353"/>
    </row>
    <row r="38" spans="1:18">
      <c r="O38" s="353"/>
    </row>
    <row r="39" spans="1:18">
      <c r="O39" s="352"/>
    </row>
    <row r="40" spans="1:18" ht="23.25">
      <c r="A40" s="61"/>
      <c r="B40" s="60"/>
      <c r="C40" s="59" t="s">
        <v>165</v>
      </c>
      <c r="D40" s="45"/>
      <c r="E40" s="45"/>
      <c r="F40" s="45"/>
      <c r="G40" s="45"/>
      <c r="H40" s="58"/>
      <c r="I40" s="58"/>
      <c r="J40" s="58"/>
      <c r="K40" s="58"/>
      <c r="L40" s="351"/>
      <c r="M40" s="351"/>
      <c r="N40" s="351"/>
      <c r="O40" s="350"/>
    </row>
    <row r="41" spans="1:18" ht="12.75">
      <c r="A41" s="428" t="s">
        <v>62</v>
      </c>
      <c r="B41" s="429"/>
      <c r="C41" s="429"/>
      <c r="D41" s="429"/>
      <c r="E41" s="429"/>
      <c r="F41" s="429"/>
      <c r="G41" s="429"/>
      <c r="H41" s="429"/>
      <c r="I41" s="429"/>
      <c r="J41" s="429"/>
      <c r="K41" s="429"/>
      <c r="L41" s="429"/>
      <c r="M41" s="429"/>
      <c r="N41" s="429"/>
      <c r="O41" s="429"/>
      <c r="P41" s="429"/>
      <c r="Q41" s="429"/>
      <c r="R41" s="429"/>
    </row>
    <row r="42" spans="1:18" ht="24">
      <c r="A42" s="72">
        <v>52.1</v>
      </c>
      <c r="B42" s="65" t="s">
        <v>63</v>
      </c>
      <c r="C42" s="73" t="s">
        <v>64</v>
      </c>
      <c r="D42" s="74">
        <v>2449.83</v>
      </c>
      <c r="E42" s="74">
        <v>1254.6400000000001</v>
      </c>
      <c r="F42" s="74">
        <v>654.09</v>
      </c>
      <c r="G42" s="74">
        <v>541.1</v>
      </c>
      <c r="H42" s="75">
        <v>25142.32</v>
      </c>
      <c r="I42" s="75">
        <v>16372.7</v>
      </c>
      <c r="J42" s="75">
        <v>4683.29</v>
      </c>
      <c r="K42" s="75">
        <v>4086.33</v>
      </c>
      <c r="L42" s="357">
        <v>10.26288354702163</v>
      </c>
      <c r="M42" s="357">
        <v>13.05</v>
      </c>
      <c r="N42" s="357">
        <v>7.1600085615129414</v>
      </c>
      <c r="O42" s="357">
        <v>7.5518942894104599</v>
      </c>
      <c r="P42" s="76"/>
      <c r="Q42" s="76"/>
      <c r="R42" s="76">
        <v>1</v>
      </c>
    </row>
    <row r="43" spans="1:18" ht="24">
      <c r="A43" s="77">
        <v>52.2</v>
      </c>
      <c r="B43" s="78" t="s">
        <v>65</v>
      </c>
      <c r="C43" s="79" t="s">
        <v>66</v>
      </c>
      <c r="D43" s="80">
        <v>1048.71</v>
      </c>
      <c r="E43" s="80">
        <v>283.11</v>
      </c>
      <c r="F43" s="80">
        <v>315.92</v>
      </c>
      <c r="G43" s="80">
        <v>449.68</v>
      </c>
      <c r="H43" s="81">
        <v>9313.99</v>
      </c>
      <c r="I43" s="81">
        <v>3694.56</v>
      </c>
      <c r="J43" s="81">
        <v>2224.0100000000002</v>
      </c>
      <c r="K43" s="81">
        <v>3395.42</v>
      </c>
      <c r="L43" s="356">
        <v>8.8813780740147408</v>
      </c>
      <c r="M43" s="356">
        <v>13.05</v>
      </c>
      <c r="N43" s="356">
        <v>7.0397885540643204</v>
      </c>
      <c r="O43" s="356">
        <v>7.5507471980074721</v>
      </c>
      <c r="P43" s="82"/>
      <c r="Q43" s="82"/>
      <c r="R43" s="82">
        <v>1</v>
      </c>
    </row>
    <row r="44" spans="1:18" ht="12.75">
      <c r="A44" s="428" t="s">
        <v>67</v>
      </c>
      <c r="B44" s="429"/>
      <c r="C44" s="429"/>
      <c r="D44" s="429"/>
      <c r="E44" s="429"/>
      <c r="F44" s="429"/>
      <c r="G44" s="429"/>
      <c r="H44" s="429"/>
      <c r="I44" s="429"/>
      <c r="J44" s="429"/>
      <c r="K44" s="429"/>
      <c r="L44" s="429"/>
      <c r="M44" s="429"/>
      <c r="N44" s="429"/>
      <c r="O44" s="429"/>
      <c r="P44" s="429"/>
      <c r="Q44" s="429"/>
      <c r="R44" s="429"/>
    </row>
    <row r="45" spans="1:18">
      <c r="A45" s="77">
        <v>52.3</v>
      </c>
      <c r="B45" s="78" t="s">
        <v>68</v>
      </c>
      <c r="C45" s="79" t="s">
        <v>69</v>
      </c>
      <c r="D45" s="80">
        <v>6290.13</v>
      </c>
      <c r="E45" s="80">
        <v>5811.87</v>
      </c>
      <c r="F45" s="80">
        <v>348.12</v>
      </c>
      <c r="G45" s="80">
        <v>130.13999999999999</v>
      </c>
      <c r="H45" s="81">
        <v>78916.97</v>
      </c>
      <c r="I45" s="81">
        <v>75842.649999999994</v>
      </c>
      <c r="J45" s="81">
        <v>2282.13</v>
      </c>
      <c r="K45" s="81">
        <v>792.19</v>
      </c>
      <c r="L45" s="356">
        <v>12.546158823426543</v>
      </c>
      <c r="M45" s="356">
        <v>13.05</v>
      </c>
      <c r="N45" s="356">
        <v>6.5555842812823171</v>
      </c>
      <c r="O45" s="356">
        <v>6.0872137697863851</v>
      </c>
      <c r="P45" s="82"/>
      <c r="Q45" s="82"/>
      <c r="R45" s="82">
        <v>2</v>
      </c>
    </row>
    <row r="46" spans="1:18" ht="12.75">
      <c r="A46" s="428" t="s">
        <v>70</v>
      </c>
      <c r="B46" s="429"/>
      <c r="C46" s="429"/>
      <c r="D46" s="429"/>
      <c r="E46" s="429"/>
      <c r="F46" s="429"/>
      <c r="G46" s="429"/>
      <c r="H46" s="429"/>
      <c r="I46" s="429"/>
      <c r="J46" s="429"/>
      <c r="K46" s="429"/>
      <c r="L46" s="429"/>
      <c r="M46" s="429"/>
      <c r="N46" s="429"/>
      <c r="O46" s="429"/>
      <c r="P46" s="429"/>
      <c r="Q46" s="429"/>
      <c r="R46" s="429"/>
    </row>
    <row r="47" spans="1:18" ht="36">
      <c r="A47" s="72">
        <v>52.4</v>
      </c>
      <c r="B47" s="65" t="s">
        <v>71</v>
      </c>
      <c r="C47" s="73" t="s">
        <v>72</v>
      </c>
      <c r="D47" s="74">
        <v>19865.89</v>
      </c>
      <c r="E47" s="74">
        <v>4215</v>
      </c>
      <c r="F47" s="74">
        <v>3746.77</v>
      </c>
      <c r="G47" s="74">
        <v>11904.12</v>
      </c>
      <c r="H47" s="75">
        <v>148288.32000000001</v>
      </c>
      <c r="I47" s="75">
        <v>55005</v>
      </c>
      <c r="J47" s="75">
        <v>29464.26</v>
      </c>
      <c r="K47" s="75">
        <v>63819.06</v>
      </c>
      <c r="L47" s="357">
        <v>7.464468996858435</v>
      </c>
      <c r="M47" s="357">
        <v>13.05</v>
      </c>
      <c r="N47" s="357">
        <v>7.8639094473373063</v>
      </c>
      <c r="O47" s="357">
        <v>5.3610901099787291</v>
      </c>
      <c r="P47" s="76"/>
      <c r="Q47" s="76"/>
      <c r="R47" s="76">
        <v>3</v>
      </c>
    </row>
    <row r="48" spans="1:18" ht="36">
      <c r="A48" s="72">
        <v>52.5</v>
      </c>
      <c r="B48" s="65" t="s">
        <v>73</v>
      </c>
      <c r="C48" s="73" t="s">
        <v>74</v>
      </c>
      <c r="D48" s="74">
        <v>25265.55</v>
      </c>
      <c r="E48" s="74">
        <v>5372.72</v>
      </c>
      <c r="F48" s="74">
        <v>4849.99</v>
      </c>
      <c r="G48" s="74">
        <v>15042.84</v>
      </c>
      <c r="H48" s="75">
        <v>188935.77</v>
      </c>
      <c r="I48" s="75">
        <v>70113.039999999994</v>
      </c>
      <c r="J48" s="75">
        <v>38136.449999999997</v>
      </c>
      <c r="K48" s="75">
        <v>80686.28</v>
      </c>
      <c r="L48" s="357">
        <v>7.477999489423345</v>
      </c>
      <c r="M48" s="357">
        <v>13.05</v>
      </c>
      <c r="N48" s="357">
        <v>7.8632017797974836</v>
      </c>
      <c r="O48" s="357">
        <v>5.3637664164479579</v>
      </c>
      <c r="P48" s="76"/>
      <c r="Q48" s="76"/>
      <c r="R48" s="76">
        <v>3</v>
      </c>
    </row>
    <row r="49" spans="1:18" ht="36">
      <c r="A49" s="77">
        <v>52.6</v>
      </c>
      <c r="B49" s="78" t="s">
        <v>75</v>
      </c>
      <c r="C49" s="79" t="s">
        <v>76</v>
      </c>
      <c r="D49" s="80">
        <v>30832.639999999999</v>
      </c>
      <c r="E49" s="80">
        <v>6856.4</v>
      </c>
      <c r="F49" s="80">
        <v>5953.22</v>
      </c>
      <c r="G49" s="80">
        <v>18023.02</v>
      </c>
      <c r="H49" s="81">
        <v>232929.11</v>
      </c>
      <c r="I49" s="81">
        <v>89474.8</v>
      </c>
      <c r="J49" s="81">
        <v>46808.66</v>
      </c>
      <c r="K49" s="81">
        <v>96645.65</v>
      </c>
      <c r="L49" s="356">
        <v>7.5546274986507802</v>
      </c>
      <c r="M49" s="356">
        <v>13.05</v>
      </c>
      <c r="N49" s="356">
        <v>7.8627465472467</v>
      </c>
      <c r="O49" s="356">
        <v>5.3623449344227545</v>
      </c>
      <c r="P49" s="82"/>
      <c r="Q49" s="82"/>
      <c r="R49" s="82">
        <v>3</v>
      </c>
    </row>
    <row r="50" spans="1:18" ht="12.75">
      <c r="A50" s="428" t="s">
        <v>77</v>
      </c>
      <c r="B50" s="429"/>
      <c r="C50" s="429"/>
      <c r="D50" s="429"/>
      <c r="E50" s="429"/>
      <c r="F50" s="429"/>
      <c r="G50" s="429"/>
      <c r="H50" s="429"/>
      <c r="I50" s="429"/>
      <c r="J50" s="429"/>
      <c r="K50" s="429"/>
      <c r="L50" s="429"/>
      <c r="M50" s="429"/>
      <c r="N50" s="429"/>
      <c r="O50" s="429"/>
      <c r="P50" s="429"/>
      <c r="Q50" s="429"/>
      <c r="R50" s="429"/>
    </row>
    <row r="51" spans="1:18" ht="24">
      <c r="A51" s="72">
        <v>52.7</v>
      </c>
      <c r="B51" s="65" t="s">
        <v>78</v>
      </c>
      <c r="C51" s="73" t="s">
        <v>79</v>
      </c>
      <c r="D51" s="74">
        <v>15755.77</v>
      </c>
      <c r="E51" s="74">
        <v>1832.48</v>
      </c>
      <c r="F51" s="74">
        <v>26.81</v>
      </c>
      <c r="G51" s="74">
        <v>13896.48</v>
      </c>
      <c r="H51" s="75">
        <v>99116.55</v>
      </c>
      <c r="I51" s="75">
        <v>23914.54</v>
      </c>
      <c r="J51" s="75">
        <v>141.94999999999999</v>
      </c>
      <c r="K51" s="75">
        <v>75060.06</v>
      </c>
      <c r="L51" s="357">
        <v>6.2908096525907649</v>
      </c>
      <c r="M51" s="357">
        <v>13.05</v>
      </c>
      <c r="N51" s="357">
        <v>5.2946661693397985</v>
      </c>
      <c r="O51" s="357">
        <v>5.4013721460398605</v>
      </c>
      <c r="P51" s="76"/>
      <c r="Q51" s="76"/>
      <c r="R51" s="76">
        <v>4</v>
      </c>
    </row>
    <row r="52" spans="1:18" ht="24">
      <c r="A52" s="77">
        <v>52.8</v>
      </c>
      <c r="B52" s="78" t="s">
        <v>80</v>
      </c>
      <c r="C52" s="79" t="s">
        <v>81</v>
      </c>
      <c r="D52" s="80">
        <v>30624.35</v>
      </c>
      <c r="E52" s="80">
        <v>2850.01</v>
      </c>
      <c r="F52" s="80">
        <v>57.71</v>
      </c>
      <c r="G52" s="80">
        <v>27716.63</v>
      </c>
      <c r="H52" s="81">
        <v>186981.03</v>
      </c>
      <c r="I52" s="81">
        <v>37193.629999999997</v>
      </c>
      <c r="J52" s="81">
        <v>305.04000000000002</v>
      </c>
      <c r="K52" s="81">
        <v>149482.35999999999</v>
      </c>
      <c r="L52" s="356">
        <v>6.1056326093451778</v>
      </c>
      <c r="M52" s="356">
        <v>13.05</v>
      </c>
      <c r="N52" s="356">
        <v>5.2857390400277255</v>
      </c>
      <c r="O52" s="356">
        <v>5.3932372009151175</v>
      </c>
      <c r="P52" s="82"/>
      <c r="Q52" s="82"/>
      <c r="R52" s="82">
        <v>4</v>
      </c>
    </row>
    <row r="53" spans="1:18" ht="12.75">
      <c r="A53" s="428" t="s">
        <v>82</v>
      </c>
      <c r="B53" s="429"/>
      <c r="C53" s="429"/>
      <c r="D53" s="429"/>
      <c r="E53" s="429"/>
      <c r="F53" s="429"/>
      <c r="G53" s="429"/>
      <c r="H53" s="429"/>
      <c r="I53" s="429"/>
      <c r="J53" s="429"/>
      <c r="K53" s="429"/>
      <c r="L53" s="429"/>
      <c r="M53" s="429"/>
      <c r="N53" s="429"/>
      <c r="O53" s="429"/>
      <c r="P53" s="429"/>
      <c r="Q53" s="429"/>
      <c r="R53" s="429"/>
    </row>
    <row r="54" spans="1:18">
      <c r="A54" s="77">
        <v>52.9</v>
      </c>
      <c r="B54" s="78" t="s">
        <v>83</v>
      </c>
      <c r="C54" s="79" t="s">
        <v>84</v>
      </c>
      <c r="D54" s="80">
        <v>1059.32</v>
      </c>
      <c r="E54" s="80">
        <v>133.32</v>
      </c>
      <c r="F54" s="80">
        <v>1.05</v>
      </c>
      <c r="G54" s="80">
        <v>924.95</v>
      </c>
      <c r="H54" s="81">
        <v>6771.18</v>
      </c>
      <c r="I54" s="81">
        <v>1739.87</v>
      </c>
      <c r="J54" s="81">
        <v>5.31</v>
      </c>
      <c r="K54" s="81">
        <v>5026</v>
      </c>
      <c r="L54" s="356">
        <v>6.3920061926518903</v>
      </c>
      <c r="M54" s="356">
        <v>13.05</v>
      </c>
      <c r="N54" s="356">
        <v>5.0571428571428569</v>
      </c>
      <c r="O54" s="356">
        <v>5.4338072328233959</v>
      </c>
      <c r="P54" s="82"/>
      <c r="Q54" s="82"/>
      <c r="R54" s="82">
        <v>5</v>
      </c>
    </row>
    <row r="55" spans="1:18" ht="12.75">
      <c r="A55" s="428" t="s">
        <v>85</v>
      </c>
      <c r="B55" s="429"/>
      <c r="C55" s="429"/>
      <c r="D55" s="429"/>
      <c r="E55" s="429"/>
      <c r="F55" s="429"/>
      <c r="G55" s="429"/>
      <c r="H55" s="429"/>
      <c r="I55" s="429"/>
      <c r="J55" s="429"/>
      <c r="K55" s="429"/>
      <c r="L55" s="429"/>
      <c r="M55" s="429"/>
      <c r="N55" s="429"/>
      <c r="O55" s="429"/>
      <c r="P55" s="429"/>
      <c r="Q55" s="429"/>
      <c r="R55" s="429"/>
    </row>
    <row r="56" spans="1:18" ht="36">
      <c r="A56" s="77">
        <v>52.1</v>
      </c>
      <c r="B56" s="78" t="s">
        <v>86</v>
      </c>
      <c r="C56" s="79" t="s">
        <v>87</v>
      </c>
      <c r="D56" s="80">
        <v>10289.39</v>
      </c>
      <c r="E56" s="80">
        <v>1578.02</v>
      </c>
      <c r="F56" s="80">
        <v>12.59</v>
      </c>
      <c r="G56" s="80">
        <v>8698.7800000000007</v>
      </c>
      <c r="H56" s="81">
        <v>55726.78</v>
      </c>
      <c r="I56" s="81">
        <v>20593.29</v>
      </c>
      <c r="J56" s="81">
        <v>63.68</v>
      </c>
      <c r="K56" s="81">
        <v>35069.81</v>
      </c>
      <c r="L56" s="356">
        <v>5.4159459404298991</v>
      </c>
      <c r="M56" s="356">
        <v>13.05</v>
      </c>
      <c r="N56" s="356">
        <v>5.057982525814138</v>
      </c>
      <c r="O56" s="356">
        <v>4.0315779913964942</v>
      </c>
      <c r="P56" s="82"/>
      <c r="Q56" s="82"/>
      <c r="R56" s="82">
        <v>6</v>
      </c>
    </row>
    <row r="57" spans="1:18" ht="12.75">
      <c r="A57" s="428" t="s">
        <v>88</v>
      </c>
      <c r="B57" s="429"/>
      <c r="C57" s="429"/>
      <c r="D57" s="429"/>
      <c r="E57" s="429"/>
      <c r="F57" s="429"/>
      <c r="G57" s="429"/>
      <c r="H57" s="429"/>
      <c r="I57" s="429"/>
      <c r="J57" s="429"/>
      <c r="K57" s="429"/>
      <c r="L57" s="429"/>
      <c r="M57" s="429"/>
      <c r="N57" s="429"/>
      <c r="O57" s="429"/>
      <c r="P57" s="429"/>
      <c r="Q57" s="429"/>
      <c r="R57" s="429"/>
    </row>
    <row r="58" spans="1:18" ht="24">
      <c r="A58" s="72">
        <v>52.11</v>
      </c>
      <c r="B58" s="65" t="s">
        <v>89</v>
      </c>
      <c r="C58" s="73" t="s">
        <v>90</v>
      </c>
      <c r="D58" s="74">
        <v>1099.47</v>
      </c>
      <c r="E58" s="74">
        <v>132.27000000000001</v>
      </c>
      <c r="F58" s="74">
        <v>1.05</v>
      </c>
      <c r="G58" s="74">
        <v>966.15</v>
      </c>
      <c r="H58" s="75">
        <v>6951.07</v>
      </c>
      <c r="I58" s="75">
        <v>1726.08</v>
      </c>
      <c r="J58" s="75">
        <v>5.31</v>
      </c>
      <c r="K58" s="75">
        <v>5219.68</v>
      </c>
      <c r="L58" s="357">
        <v>6.3222006966993183</v>
      </c>
      <c r="M58" s="357">
        <v>13.05</v>
      </c>
      <c r="N58" s="357">
        <v>5.0571428571428569</v>
      </c>
      <c r="O58" s="357">
        <v>5.4025565388397254</v>
      </c>
      <c r="P58" s="76"/>
      <c r="Q58" s="76"/>
      <c r="R58" s="76">
        <v>7</v>
      </c>
    </row>
    <row r="59" spans="1:18" ht="24">
      <c r="A59" s="72">
        <v>52.12</v>
      </c>
      <c r="B59" s="65" t="s">
        <v>91</v>
      </c>
      <c r="C59" s="73" t="s">
        <v>92</v>
      </c>
      <c r="D59" s="74">
        <v>624.74</v>
      </c>
      <c r="E59" s="74">
        <v>141.84</v>
      </c>
      <c r="F59" s="74">
        <v>1.05</v>
      </c>
      <c r="G59" s="74">
        <v>481.85</v>
      </c>
      <c r="H59" s="75">
        <v>3658.56</v>
      </c>
      <c r="I59" s="75">
        <v>1851.08</v>
      </c>
      <c r="J59" s="75">
        <v>5.31</v>
      </c>
      <c r="K59" s="75">
        <v>1802.17</v>
      </c>
      <c r="L59" s="357">
        <v>5.8561321509748057</v>
      </c>
      <c r="M59" s="357">
        <v>13.05</v>
      </c>
      <c r="N59" s="357">
        <v>5.0571428571428569</v>
      </c>
      <c r="O59" s="357">
        <v>3.7401058420670332</v>
      </c>
      <c r="P59" s="76"/>
      <c r="Q59" s="76"/>
      <c r="R59" s="76">
        <v>7</v>
      </c>
    </row>
    <row r="60" spans="1:18" ht="24">
      <c r="A60" s="72">
        <v>52.13</v>
      </c>
      <c r="B60" s="65" t="s">
        <v>93</v>
      </c>
      <c r="C60" s="73" t="s">
        <v>94</v>
      </c>
      <c r="D60" s="74">
        <v>1632.51</v>
      </c>
      <c r="E60" s="74">
        <v>299.08</v>
      </c>
      <c r="F60" s="74">
        <v>391.84</v>
      </c>
      <c r="G60" s="74">
        <v>941.59</v>
      </c>
      <c r="H60" s="75">
        <v>12109.39</v>
      </c>
      <c r="I60" s="75">
        <v>3902.96</v>
      </c>
      <c r="J60" s="75">
        <v>3088.99</v>
      </c>
      <c r="K60" s="75">
        <v>5117.4399999999996</v>
      </c>
      <c r="L60" s="357">
        <v>7.4176513466992544</v>
      </c>
      <c r="M60" s="357">
        <v>13.05</v>
      </c>
      <c r="N60" s="357">
        <v>7.8832942017149854</v>
      </c>
      <c r="O60" s="357">
        <v>5.4348920443080315</v>
      </c>
      <c r="P60" s="76"/>
      <c r="Q60" s="76"/>
      <c r="R60" s="76">
        <v>7</v>
      </c>
    </row>
    <row r="61" spans="1:18" ht="24">
      <c r="A61" s="72">
        <v>52.14</v>
      </c>
      <c r="B61" s="65" t="s">
        <v>95</v>
      </c>
      <c r="C61" s="73" t="s">
        <v>96</v>
      </c>
      <c r="D61" s="74">
        <v>965.15</v>
      </c>
      <c r="E61" s="74">
        <v>199.83</v>
      </c>
      <c r="F61" s="74">
        <v>322.14</v>
      </c>
      <c r="G61" s="74">
        <v>443.18</v>
      </c>
      <c r="H61" s="75">
        <v>6797.46</v>
      </c>
      <c r="I61" s="75">
        <v>2607.7399999999998</v>
      </c>
      <c r="J61" s="75">
        <v>2539.21</v>
      </c>
      <c r="K61" s="75">
        <v>1650.51</v>
      </c>
      <c r="L61" s="357">
        <v>7.0429052478889291</v>
      </c>
      <c r="M61" s="357">
        <v>13.05</v>
      </c>
      <c r="N61" s="357">
        <v>7.8823182467250268</v>
      </c>
      <c r="O61" s="357">
        <v>3.7242429712532155</v>
      </c>
      <c r="P61" s="76"/>
      <c r="Q61" s="76"/>
      <c r="R61" s="76">
        <v>7</v>
      </c>
    </row>
    <row r="62" spans="1:18" ht="24">
      <c r="A62" s="72">
        <v>52.15</v>
      </c>
      <c r="B62" s="65" t="s">
        <v>97</v>
      </c>
      <c r="C62" s="73" t="s">
        <v>98</v>
      </c>
      <c r="D62" s="74">
        <v>2671.4</v>
      </c>
      <c r="E62" s="74">
        <v>152.44</v>
      </c>
      <c r="F62" s="74">
        <v>1815.45</v>
      </c>
      <c r="G62" s="74">
        <v>703.51</v>
      </c>
      <c r="H62" s="75">
        <v>21208.25</v>
      </c>
      <c r="I62" s="75">
        <v>1989.38</v>
      </c>
      <c r="J62" s="75">
        <v>14315.37</v>
      </c>
      <c r="K62" s="75">
        <v>4903.5</v>
      </c>
      <c r="L62" s="357">
        <v>7.9390020214119934</v>
      </c>
      <c r="M62" s="357">
        <v>13.05</v>
      </c>
      <c r="N62" s="357">
        <v>7.8853011650004134</v>
      </c>
      <c r="O62" s="357">
        <v>6.9700501769697656</v>
      </c>
      <c r="P62" s="76"/>
      <c r="Q62" s="76"/>
      <c r="R62" s="76">
        <v>7</v>
      </c>
    </row>
    <row r="63" spans="1:18" ht="24">
      <c r="A63" s="72">
        <v>52.16</v>
      </c>
      <c r="B63" s="65" t="s">
        <v>99</v>
      </c>
      <c r="C63" s="73" t="s">
        <v>100</v>
      </c>
      <c r="D63" s="74">
        <v>2694.96</v>
      </c>
      <c r="E63" s="74">
        <v>46.06</v>
      </c>
      <c r="F63" s="74">
        <v>1816.71</v>
      </c>
      <c r="G63" s="74">
        <v>832.19</v>
      </c>
      <c r="H63" s="75">
        <v>20148.060000000001</v>
      </c>
      <c r="I63" s="75">
        <v>601.07000000000005</v>
      </c>
      <c r="J63" s="75">
        <v>14326.79</v>
      </c>
      <c r="K63" s="75">
        <v>5220.2</v>
      </c>
      <c r="L63" s="357">
        <v>7.4762000178110251</v>
      </c>
      <c r="M63" s="357">
        <v>13.05</v>
      </c>
      <c r="N63" s="357">
        <v>7.8861183127741912</v>
      </c>
      <c r="O63" s="357">
        <v>6.2728463451855943</v>
      </c>
      <c r="P63" s="76"/>
      <c r="Q63" s="76"/>
      <c r="R63" s="76">
        <v>7</v>
      </c>
    </row>
    <row r="64" spans="1:18" ht="24">
      <c r="A64" s="72">
        <v>52.17</v>
      </c>
      <c r="B64" s="65" t="s">
        <v>101</v>
      </c>
      <c r="C64" s="73" t="s">
        <v>102</v>
      </c>
      <c r="D64" s="74">
        <v>1404.03</v>
      </c>
      <c r="E64" s="74">
        <v>484.64</v>
      </c>
      <c r="F64" s="74">
        <v>6.29</v>
      </c>
      <c r="G64" s="74">
        <v>913.1</v>
      </c>
      <c r="H64" s="75">
        <v>11329.46</v>
      </c>
      <c r="I64" s="75">
        <v>6324.53</v>
      </c>
      <c r="J64" s="75">
        <v>31.84</v>
      </c>
      <c r="K64" s="75">
        <v>4973.09</v>
      </c>
      <c r="L64" s="357">
        <v>8.0692435346823075</v>
      </c>
      <c r="M64" s="357">
        <v>13.05</v>
      </c>
      <c r="N64" s="357">
        <v>5.0620031796502385</v>
      </c>
      <c r="O64" s="357">
        <v>5.4463804621618666</v>
      </c>
      <c r="P64" s="76"/>
      <c r="Q64" s="76"/>
      <c r="R64" s="76">
        <v>7</v>
      </c>
    </row>
    <row r="65" spans="1:18" ht="24">
      <c r="A65" s="72">
        <v>52.18</v>
      </c>
      <c r="B65" s="65" t="s">
        <v>103</v>
      </c>
      <c r="C65" s="73" t="s">
        <v>104</v>
      </c>
      <c r="D65" s="74">
        <v>863.6</v>
      </c>
      <c r="E65" s="74">
        <v>379.48</v>
      </c>
      <c r="F65" s="74">
        <v>5.25</v>
      </c>
      <c r="G65" s="74">
        <v>478.87</v>
      </c>
      <c r="H65" s="75">
        <v>6891.76</v>
      </c>
      <c r="I65" s="75">
        <v>4952.18</v>
      </c>
      <c r="J65" s="75">
        <v>26.53</v>
      </c>
      <c r="K65" s="75">
        <v>1913.05</v>
      </c>
      <c r="L65" s="357">
        <v>7.980268642890227</v>
      </c>
      <c r="M65" s="357">
        <v>13.05</v>
      </c>
      <c r="N65" s="357">
        <v>5.0533333333333337</v>
      </c>
      <c r="O65" s="357">
        <v>3.9949255539081587</v>
      </c>
      <c r="P65" s="76"/>
      <c r="Q65" s="76"/>
      <c r="R65" s="76">
        <v>7</v>
      </c>
    </row>
    <row r="66" spans="1:18">
      <c r="A66" s="72">
        <v>52.19</v>
      </c>
      <c r="B66" s="65" t="s">
        <v>105</v>
      </c>
      <c r="C66" s="73" t="s">
        <v>106</v>
      </c>
      <c r="D66" s="74">
        <v>1918.52</v>
      </c>
      <c r="E66" s="74">
        <v>378.25</v>
      </c>
      <c r="F66" s="74">
        <v>50.15</v>
      </c>
      <c r="G66" s="74">
        <v>1490.12</v>
      </c>
      <c r="H66" s="75">
        <v>13758.75</v>
      </c>
      <c r="I66" s="75">
        <v>4936.22</v>
      </c>
      <c r="J66" s="75">
        <v>324.37</v>
      </c>
      <c r="K66" s="75">
        <v>8498.16</v>
      </c>
      <c r="L66" s="357">
        <v>7.1715436899276526</v>
      </c>
      <c r="M66" s="357">
        <v>13.05</v>
      </c>
      <c r="N66" s="357">
        <v>6.4679960119641082</v>
      </c>
      <c r="O66" s="357">
        <v>5.7030037849300728</v>
      </c>
      <c r="P66" s="76"/>
      <c r="Q66" s="76"/>
      <c r="R66" s="76">
        <v>7</v>
      </c>
    </row>
    <row r="67" spans="1:18">
      <c r="A67" s="72">
        <v>52.2</v>
      </c>
      <c r="B67" s="65" t="s">
        <v>107</v>
      </c>
      <c r="C67" s="73" t="s">
        <v>108</v>
      </c>
      <c r="D67" s="74">
        <v>1336.43</v>
      </c>
      <c r="E67" s="74">
        <v>290.82</v>
      </c>
      <c r="F67" s="74">
        <v>48.07</v>
      </c>
      <c r="G67" s="74">
        <v>997.54</v>
      </c>
      <c r="H67" s="75">
        <v>9148.84</v>
      </c>
      <c r="I67" s="75">
        <v>3795.25</v>
      </c>
      <c r="J67" s="75">
        <v>307.95</v>
      </c>
      <c r="K67" s="75">
        <v>5045.6400000000003</v>
      </c>
      <c r="L67" s="357">
        <v>6.845730790239668</v>
      </c>
      <c r="M67" s="357">
        <v>13.05</v>
      </c>
      <c r="N67" s="357">
        <v>6.4062825046806742</v>
      </c>
      <c r="O67" s="357">
        <v>5.0580828838943805</v>
      </c>
      <c r="P67" s="76"/>
      <c r="Q67" s="76"/>
      <c r="R67" s="76">
        <v>7</v>
      </c>
    </row>
    <row r="68" spans="1:18">
      <c r="A68" s="77">
        <v>52.21</v>
      </c>
      <c r="B68" s="78" t="s">
        <v>109</v>
      </c>
      <c r="C68" s="79" t="s">
        <v>110</v>
      </c>
      <c r="D68" s="80">
        <v>1520.18</v>
      </c>
      <c r="E68" s="80">
        <v>210.42</v>
      </c>
      <c r="F68" s="80">
        <v>78.11</v>
      </c>
      <c r="G68" s="80">
        <v>1231.6500000000001</v>
      </c>
      <c r="H68" s="81">
        <v>11594.5</v>
      </c>
      <c r="I68" s="81">
        <v>2746.04</v>
      </c>
      <c r="J68" s="81">
        <v>607.08000000000004</v>
      </c>
      <c r="K68" s="81">
        <v>8241.3799999999992</v>
      </c>
      <c r="L68" s="356">
        <v>7.6270573221592173</v>
      </c>
      <c r="M68" s="356">
        <v>13.05</v>
      </c>
      <c r="N68" s="356">
        <v>7.7721162463192943</v>
      </c>
      <c r="O68" s="356">
        <v>6.6913327649900527</v>
      </c>
      <c r="P68" s="82"/>
      <c r="Q68" s="82"/>
      <c r="R68" s="82">
        <v>7</v>
      </c>
    </row>
    <row r="69" spans="1:18" ht="12.75">
      <c r="A69" s="428" t="s">
        <v>111</v>
      </c>
      <c r="B69" s="429"/>
      <c r="C69" s="429"/>
      <c r="D69" s="429"/>
      <c r="E69" s="429"/>
      <c r="F69" s="429"/>
      <c r="G69" s="429"/>
      <c r="H69" s="429"/>
      <c r="I69" s="429"/>
      <c r="J69" s="429"/>
      <c r="K69" s="429"/>
      <c r="L69" s="429"/>
      <c r="M69" s="429"/>
      <c r="N69" s="429"/>
      <c r="O69" s="429"/>
      <c r="P69" s="429"/>
      <c r="Q69" s="429"/>
      <c r="R69" s="429"/>
    </row>
    <row r="70" spans="1:18">
      <c r="A70" s="72">
        <v>52.22</v>
      </c>
      <c r="B70" s="65" t="s">
        <v>112</v>
      </c>
      <c r="C70" s="73" t="s">
        <v>113</v>
      </c>
      <c r="D70" s="74">
        <v>282.04000000000002</v>
      </c>
      <c r="E70" s="74">
        <v>102.61</v>
      </c>
      <c r="F70" s="74">
        <v>10.49</v>
      </c>
      <c r="G70" s="74">
        <v>168.94</v>
      </c>
      <c r="H70" s="75">
        <v>2189.2800000000002</v>
      </c>
      <c r="I70" s="75">
        <v>1339.11</v>
      </c>
      <c r="J70" s="75">
        <v>53.07</v>
      </c>
      <c r="K70" s="75">
        <v>797.1</v>
      </c>
      <c r="L70" s="357">
        <v>7.7623032194015034</v>
      </c>
      <c r="M70" s="357">
        <v>13.05</v>
      </c>
      <c r="N70" s="357">
        <v>5.0591039084842704</v>
      </c>
      <c r="O70" s="357">
        <v>4.7182431632532262</v>
      </c>
      <c r="P70" s="76"/>
      <c r="Q70" s="76"/>
      <c r="R70" s="76">
        <v>8</v>
      </c>
    </row>
    <row r="71" spans="1:18">
      <c r="A71" s="72">
        <v>52.23</v>
      </c>
      <c r="B71" s="65" t="s">
        <v>114</v>
      </c>
      <c r="C71" s="73" t="s">
        <v>115</v>
      </c>
      <c r="D71" s="74">
        <v>282.55</v>
      </c>
      <c r="E71" s="74">
        <v>110.87</v>
      </c>
      <c r="F71" s="74">
        <v>10.49</v>
      </c>
      <c r="G71" s="74">
        <v>161.19</v>
      </c>
      <c r="H71" s="75">
        <v>2260.25</v>
      </c>
      <c r="I71" s="75">
        <v>1446.82</v>
      </c>
      <c r="J71" s="75">
        <v>53.07</v>
      </c>
      <c r="K71" s="75">
        <v>760.36</v>
      </c>
      <c r="L71" s="357">
        <v>7.9994691205096444</v>
      </c>
      <c r="M71" s="357">
        <v>13.05</v>
      </c>
      <c r="N71" s="357">
        <v>5.0591039084842704</v>
      </c>
      <c r="O71" s="357">
        <v>4.7171660773000808</v>
      </c>
      <c r="P71" s="76"/>
      <c r="Q71" s="76"/>
      <c r="R71" s="76">
        <v>8</v>
      </c>
    </row>
    <row r="72" spans="1:18">
      <c r="A72" s="77">
        <v>52.24</v>
      </c>
      <c r="B72" s="78" t="s">
        <v>116</v>
      </c>
      <c r="C72" s="79" t="s">
        <v>117</v>
      </c>
      <c r="D72" s="80">
        <v>289.07</v>
      </c>
      <c r="E72" s="80">
        <v>117.39</v>
      </c>
      <c r="F72" s="80">
        <v>10.49</v>
      </c>
      <c r="G72" s="80">
        <v>161.19</v>
      </c>
      <c r="H72" s="81">
        <v>2345.36</v>
      </c>
      <c r="I72" s="81">
        <v>1531.93</v>
      </c>
      <c r="J72" s="81">
        <v>53.07</v>
      </c>
      <c r="K72" s="81">
        <v>760.36</v>
      </c>
      <c r="L72" s="356">
        <v>8.1134673262531578</v>
      </c>
      <c r="M72" s="356">
        <v>13.05</v>
      </c>
      <c r="N72" s="356">
        <v>5.0591039084842704</v>
      </c>
      <c r="O72" s="356">
        <v>4.7171660773000808</v>
      </c>
      <c r="P72" s="82"/>
      <c r="Q72" s="82"/>
      <c r="R72" s="82">
        <v>8</v>
      </c>
    </row>
    <row r="73" spans="1:18" ht="12.75">
      <c r="A73" s="428" t="s">
        <v>118</v>
      </c>
      <c r="B73" s="429"/>
      <c r="C73" s="429"/>
      <c r="D73" s="429"/>
      <c r="E73" s="429"/>
      <c r="F73" s="429"/>
      <c r="G73" s="429"/>
      <c r="H73" s="429"/>
      <c r="I73" s="429"/>
      <c r="J73" s="429"/>
      <c r="K73" s="429"/>
      <c r="L73" s="429"/>
      <c r="M73" s="429"/>
      <c r="N73" s="429"/>
      <c r="O73" s="429"/>
      <c r="P73" s="429"/>
      <c r="Q73" s="429"/>
      <c r="R73" s="429"/>
    </row>
    <row r="74" spans="1:18" ht="24">
      <c r="A74" s="72">
        <v>52.25</v>
      </c>
      <c r="B74" s="65" t="s">
        <v>119</v>
      </c>
      <c r="C74" s="73" t="s">
        <v>120</v>
      </c>
      <c r="D74" s="74">
        <v>1312.1</v>
      </c>
      <c r="E74" s="74">
        <v>281.22000000000003</v>
      </c>
      <c r="F74" s="74">
        <v>2.1</v>
      </c>
      <c r="G74" s="74">
        <v>1028.78</v>
      </c>
      <c r="H74" s="75">
        <v>9293.42</v>
      </c>
      <c r="I74" s="75">
        <v>3670.03</v>
      </c>
      <c r="J74" s="75">
        <v>10.61</v>
      </c>
      <c r="K74" s="75">
        <v>5612.78</v>
      </c>
      <c r="L74" s="357">
        <v>7.0828595381449588</v>
      </c>
      <c r="M74" s="357">
        <v>13.05</v>
      </c>
      <c r="N74" s="357">
        <v>5.0523809523809522</v>
      </c>
      <c r="O74" s="357">
        <v>5.4557631369194581</v>
      </c>
      <c r="P74" s="76"/>
      <c r="Q74" s="76"/>
      <c r="R74" s="76">
        <v>9</v>
      </c>
    </row>
    <row r="75" spans="1:18">
      <c r="A75" s="72">
        <v>52.26</v>
      </c>
      <c r="B75" s="65" t="s">
        <v>121</v>
      </c>
      <c r="C75" s="73" t="s">
        <v>122</v>
      </c>
      <c r="D75" s="74">
        <v>981.52</v>
      </c>
      <c r="E75" s="74">
        <v>215.43</v>
      </c>
      <c r="F75" s="74">
        <v>10.49</v>
      </c>
      <c r="G75" s="74">
        <v>755.6</v>
      </c>
      <c r="H75" s="75">
        <v>7716.02</v>
      </c>
      <c r="I75" s="75">
        <v>2811.34</v>
      </c>
      <c r="J75" s="75">
        <v>53.07</v>
      </c>
      <c r="K75" s="75">
        <v>4851.6099999999997</v>
      </c>
      <c r="L75" s="357">
        <v>7.8612967642024625</v>
      </c>
      <c r="M75" s="357">
        <v>13.05</v>
      </c>
      <c r="N75" s="357">
        <v>5.0591039084842704</v>
      </c>
      <c r="O75" s="357">
        <v>6.4208708311275799</v>
      </c>
      <c r="P75" s="76"/>
      <c r="Q75" s="76"/>
      <c r="R75" s="76">
        <v>9</v>
      </c>
    </row>
    <row r="76" spans="1:18" ht="24">
      <c r="A76" s="77">
        <v>52.27</v>
      </c>
      <c r="B76" s="78" t="s">
        <v>123</v>
      </c>
      <c r="C76" s="79" t="s">
        <v>124</v>
      </c>
      <c r="D76" s="80">
        <v>1343.86</v>
      </c>
      <c r="E76" s="80">
        <v>138.99</v>
      </c>
      <c r="F76" s="80">
        <v>165.4</v>
      </c>
      <c r="G76" s="80">
        <v>1039.47</v>
      </c>
      <c r="H76" s="81">
        <v>13570.84</v>
      </c>
      <c r="I76" s="81">
        <v>1813.72</v>
      </c>
      <c r="J76" s="81">
        <v>1481.24</v>
      </c>
      <c r="K76" s="81">
        <v>10275.879999999999</v>
      </c>
      <c r="L76" s="356">
        <v>10.098403107466552</v>
      </c>
      <c r="M76" s="356">
        <v>13.05</v>
      </c>
      <c r="N76" s="356">
        <v>8.955501813784764</v>
      </c>
      <c r="O76" s="356">
        <v>9.8856917467555565</v>
      </c>
      <c r="P76" s="82"/>
      <c r="Q76" s="82"/>
      <c r="R76" s="82">
        <v>9</v>
      </c>
    </row>
    <row r="77" spans="1:18" ht="12.75">
      <c r="A77" s="428" t="s">
        <v>125</v>
      </c>
      <c r="B77" s="429"/>
      <c r="C77" s="429"/>
      <c r="D77" s="429"/>
      <c r="E77" s="429"/>
      <c r="F77" s="429"/>
      <c r="G77" s="429"/>
      <c r="H77" s="429"/>
      <c r="I77" s="429"/>
      <c r="J77" s="429"/>
      <c r="K77" s="429"/>
      <c r="L77" s="429"/>
      <c r="M77" s="429"/>
      <c r="N77" s="429"/>
      <c r="O77" s="429"/>
      <c r="P77" s="429"/>
      <c r="Q77" s="429"/>
      <c r="R77" s="429"/>
    </row>
    <row r="78" spans="1:18" ht="24">
      <c r="A78" s="72">
        <v>52.28</v>
      </c>
      <c r="B78" s="65" t="s">
        <v>126</v>
      </c>
      <c r="C78" s="73" t="s">
        <v>127</v>
      </c>
      <c r="D78" s="74">
        <v>13666.67</v>
      </c>
      <c r="E78" s="74">
        <v>2913.36</v>
      </c>
      <c r="F78" s="74">
        <v>18.88</v>
      </c>
      <c r="G78" s="74">
        <v>10734.43</v>
      </c>
      <c r="H78" s="75">
        <v>76958.36</v>
      </c>
      <c r="I78" s="75">
        <v>38019.949999999997</v>
      </c>
      <c r="J78" s="75">
        <v>95.52</v>
      </c>
      <c r="K78" s="75">
        <v>38842.89</v>
      </c>
      <c r="L78" s="357">
        <v>5.6310981387565517</v>
      </c>
      <c r="M78" s="357">
        <v>13.05</v>
      </c>
      <c r="N78" s="357">
        <v>5.0593220338983054</v>
      </c>
      <c r="O78" s="357">
        <v>3.6185330753472704</v>
      </c>
      <c r="P78" s="76"/>
      <c r="Q78" s="76"/>
      <c r="R78" s="76">
        <v>10</v>
      </c>
    </row>
    <row r="79" spans="1:18" ht="24">
      <c r="A79" s="72">
        <v>52.29</v>
      </c>
      <c r="B79" s="65" t="s">
        <v>128</v>
      </c>
      <c r="C79" s="73" t="s">
        <v>129</v>
      </c>
      <c r="D79" s="74">
        <v>17520</v>
      </c>
      <c r="E79" s="74">
        <v>3760.53</v>
      </c>
      <c r="F79" s="74">
        <v>22.03</v>
      </c>
      <c r="G79" s="74">
        <v>13737.44</v>
      </c>
      <c r="H79" s="75">
        <v>112421.36</v>
      </c>
      <c r="I79" s="75">
        <v>49075.66</v>
      </c>
      <c r="J79" s="75">
        <v>111.44</v>
      </c>
      <c r="K79" s="75">
        <v>63234.26</v>
      </c>
      <c r="L79" s="357">
        <v>6.4167442922374427</v>
      </c>
      <c r="M79" s="357">
        <v>13.05</v>
      </c>
      <c r="N79" s="357">
        <v>5.0585565138447564</v>
      </c>
      <c r="O79" s="357">
        <v>4.6030599587696104</v>
      </c>
      <c r="P79" s="76"/>
      <c r="Q79" s="76"/>
      <c r="R79" s="76">
        <v>10</v>
      </c>
    </row>
    <row r="80" spans="1:18" ht="24">
      <c r="A80" s="77">
        <v>52.3</v>
      </c>
      <c r="B80" s="78" t="s">
        <v>130</v>
      </c>
      <c r="C80" s="79" t="s">
        <v>131</v>
      </c>
      <c r="D80" s="80">
        <v>27918.16</v>
      </c>
      <c r="E80" s="80">
        <v>6585.14</v>
      </c>
      <c r="F80" s="80">
        <v>37.76</v>
      </c>
      <c r="G80" s="80">
        <v>21295.26</v>
      </c>
      <c r="H80" s="81">
        <v>174412.19</v>
      </c>
      <c r="I80" s="81">
        <v>85935.47</v>
      </c>
      <c r="J80" s="81">
        <v>191.03</v>
      </c>
      <c r="K80" s="81">
        <v>88285.69</v>
      </c>
      <c r="L80" s="356">
        <v>6.2472666536763173</v>
      </c>
      <c r="M80" s="356">
        <v>13.05</v>
      </c>
      <c r="N80" s="356">
        <v>5.0590572033898304</v>
      </c>
      <c r="O80" s="356">
        <v>4.1457906595176581</v>
      </c>
      <c r="P80" s="82"/>
      <c r="Q80" s="82"/>
      <c r="R80" s="82">
        <v>10</v>
      </c>
    </row>
    <row r="81" spans="1:18" ht="12.75">
      <c r="A81" s="428" t="s">
        <v>132</v>
      </c>
      <c r="B81" s="429"/>
      <c r="C81" s="429"/>
      <c r="D81" s="429"/>
      <c r="E81" s="429"/>
      <c r="F81" s="429"/>
      <c r="G81" s="429"/>
      <c r="H81" s="429"/>
      <c r="I81" s="429"/>
      <c r="J81" s="429"/>
      <c r="K81" s="429"/>
      <c r="L81" s="429"/>
      <c r="M81" s="429"/>
      <c r="N81" s="429"/>
      <c r="O81" s="429"/>
      <c r="P81" s="429"/>
      <c r="Q81" s="429"/>
      <c r="R81" s="429"/>
    </row>
    <row r="82" spans="1:18">
      <c r="A82" s="72">
        <v>52.31</v>
      </c>
      <c r="B82" s="65" t="s">
        <v>133</v>
      </c>
      <c r="C82" s="73" t="s">
        <v>134</v>
      </c>
      <c r="D82" s="74">
        <v>1416.77</v>
      </c>
      <c r="E82" s="74">
        <v>1416.77</v>
      </c>
      <c r="F82" s="74"/>
      <c r="G82" s="74"/>
      <c r="H82" s="75">
        <v>18489.02</v>
      </c>
      <c r="I82" s="75">
        <v>18489.02</v>
      </c>
      <c r="J82" s="75"/>
      <c r="K82" s="75"/>
      <c r="L82" s="357">
        <v>13.050121049994001</v>
      </c>
      <c r="M82" s="357">
        <v>13.05</v>
      </c>
      <c r="N82" s="357" t="s">
        <v>135</v>
      </c>
      <c r="O82" s="357" t="s">
        <v>135</v>
      </c>
      <c r="P82" s="76"/>
      <c r="Q82" s="76"/>
      <c r="R82" s="76">
        <v>11</v>
      </c>
    </row>
    <row r="83" spans="1:18">
      <c r="A83" s="72">
        <v>52.32</v>
      </c>
      <c r="B83" s="65" t="s">
        <v>136</v>
      </c>
      <c r="C83" s="73" t="s">
        <v>137</v>
      </c>
      <c r="D83" s="74">
        <v>143.81</v>
      </c>
      <c r="E83" s="74">
        <v>128.47</v>
      </c>
      <c r="F83" s="74">
        <v>15.34</v>
      </c>
      <c r="G83" s="74"/>
      <c r="H83" s="75">
        <v>1771.56</v>
      </c>
      <c r="I83" s="75">
        <v>1676.58</v>
      </c>
      <c r="J83" s="75">
        <v>94.98</v>
      </c>
      <c r="K83" s="75"/>
      <c r="L83" s="357">
        <v>12.318753911410889</v>
      </c>
      <c r="M83" s="357">
        <v>13.05</v>
      </c>
      <c r="N83" s="357">
        <v>6.1916558018252941</v>
      </c>
      <c r="O83" s="357" t="s">
        <v>135</v>
      </c>
      <c r="P83" s="76"/>
      <c r="Q83" s="76"/>
      <c r="R83" s="76">
        <v>11</v>
      </c>
    </row>
    <row r="84" spans="1:18" ht="24">
      <c r="A84" s="77">
        <v>52.33</v>
      </c>
      <c r="B84" s="78" t="s">
        <v>138</v>
      </c>
      <c r="C84" s="79" t="s">
        <v>139</v>
      </c>
      <c r="D84" s="80">
        <v>74.45</v>
      </c>
      <c r="E84" s="80">
        <v>65.239999999999995</v>
      </c>
      <c r="F84" s="80">
        <v>9.2100000000000009</v>
      </c>
      <c r="G84" s="80"/>
      <c r="H84" s="81">
        <v>950.58</v>
      </c>
      <c r="I84" s="81">
        <v>851.41</v>
      </c>
      <c r="J84" s="81">
        <v>99.17</v>
      </c>
      <c r="K84" s="81"/>
      <c r="L84" s="356">
        <v>12.768032236400268</v>
      </c>
      <c r="M84" s="356">
        <v>13.05</v>
      </c>
      <c r="N84" s="356">
        <v>10.767643865363734</v>
      </c>
      <c r="O84" s="356" t="s">
        <v>135</v>
      </c>
      <c r="P84" s="82"/>
      <c r="Q84" s="82"/>
      <c r="R84" s="82">
        <v>11</v>
      </c>
    </row>
    <row r="85" spans="1:18" ht="12.75">
      <c r="A85" s="428" t="s">
        <v>140</v>
      </c>
      <c r="B85" s="429"/>
      <c r="C85" s="429"/>
      <c r="D85" s="429"/>
      <c r="E85" s="429"/>
      <c r="F85" s="429"/>
      <c r="G85" s="429"/>
      <c r="H85" s="429"/>
      <c r="I85" s="429"/>
      <c r="J85" s="429"/>
      <c r="K85" s="429"/>
      <c r="L85" s="429"/>
      <c r="M85" s="429"/>
      <c r="N85" s="429"/>
      <c r="O85" s="429"/>
      <c r="P85" s="429"/>
      <c r="Q85" s="429"/>
      <c r="R85" s="429"/>
    </row>
    <row r="86" spans="1:18" ht="24">
      <c r="A86" s="77">
        <v>52.34</v>
      </c>
      <c r="B86" s="78" t="s">
        <v>141</v>
      </c>
      <c r="C86" s="79" t="s">
        <v>142</v>
      </c>
      <c r="D86" s="80">
        <v>14179.1</v>
      </c>
      <c r="E86" s="80">
        <v>1888.51</v>
      </c>
      <c r="F86" s="80">
        <v>15.74</v>
      </c>
      <c r="G86" s="80">
        <v>12274.85</v>
      </c>
      <c r="H86" s="81">
        <v>91266.72</v>
      </c>
      <c r="I86" s="81">
        <v>24644.16</v>
      </c>
      <c r="J86" s="81">
        <v>79.599999999999994</v>
      </c>
      <c r="K86" s="81">
        <v>66542.960000000006</v>
      </c>
      <c r="L86" s="356">
        <v>6.4367075484339624</v>
      </c>
      <c r="M86" s="356">
        <v>13.05</v>
      </c>
      <c r="N86" s="356">
        <v>5.0571791613722992</v>
      </c>
      <c r="O86" s="356">
        <v>5.4210813166759682</v>
      </c>
      <c r="P86" s="82"/>
      <c r="Q86" s="82"/>
      <c r="R86" s="82">
        <v>12</v>
      </c>
    </row>
    <row r="87" spans="1:18" ht="12.75">
      <c r="A87" s="428" t="s">
        <v>143</v>
      </c>
      <c r="B87" s="429"/>
      <c r="C87" s="429"/>
      <c r="D87" s="429"/>
      <c r="E87" s="429"/>
      <c r="F87" s="429"/>
      <c r="G87" s="429"/>
      <c r="H87" s="429"/>
      <c r="I87" s="429"/>
      <c r="J87" s="429"/>
      <c r="K87" s="429"/>
      <c r="L87" s="429"/>
      <c r="M87" s="429"/>
      <c r="N87" s="429"/>
      <c r="O87" s="429"/>
      <c r="P87" s="429"/>
      <c r="Q87" s="429"/>
      <c r="R87" s="429"/>
    </row>
    <row r="88" spans="1:18" ht="24">
      <c r="A88" s="72">
        <v>52.35</v>
      </c>
      <c r="B88" s="65" t="s">
        <v>144</v>
      </c>
      <c r="C88" s="73" t="s">
        <v>145</v>
      </c>
      <c r="D88" s="74">
        <v>5611.8</v>
      </c>
      <c r="E88" s="74">
        <v>1395.11</v>
      </c>
      <c r="F88" s="74">
        <v>20.98</v>
      </c>
      <c r="G88" s="74">
        <v>4195.71</v>
      </c>
      <c r="H88" s="75">
        <v>39253.9</v>
      </c>
      <c r="I88" s="75">
        <v>18205.900000000001</v>
      </c>
      <c r="J88" s="75">
        <v>106.13</v>
      </c>
      <c r="K88" s="75">
        <v>20941.87</v>
      </c>
      <c r="L88" s="357">
        <v>6.9948857763997294</v>
      </c>
      <c r="M88" s="357">
        <v>13.05</v>
      </c>
      <c r="N88" s="357">
        <v>5.0586272640610099</v>
      </c>
      <c r="O88" s="357">
        <v>4.9912577370695299</v>
      </c>
      <c r="P88" s="76"/>
      <c r="Q88" s="76"/>
      <c r="R88" s="76">
        <v>13</v>
      </c>
    </row>
    <row r="89" spans="1:18" ht="24">
      <c r="A89" s="72">
        <v>52.36</v>
      </c>
      <c r="B89" s="65" t="s">
        <v>146</v>
      </c>
      <c r="C89" s="73" t="s">
        <v>147</v>
      </c>
      <c r="D89" s="74">
        <v>2609.7600000000002</v>
      </c>
      <c r="E89" s="74">
        <v>419.51</v>
      </c>
      <c r="F89" s="74">
        <v>10.49</v>
      </c>
      <c r="G89" s="74">
        <v>2179.7600000000002</v>
      </c>
      <c r="H89" s="75">
        <v>16476.52</v>
      </c>
      <c r="I89" s="75">
        <v>5474.5</v>
      </c>
      <c r="J89" s="75">
        <v>53.07</v>
      </c>
      <c r="K89" s="75">
        <v>10948.95</v>
      </c>
      <c r="L89" s="357">
        <v>6.3134234565630551</v>
      </c>
      <c r="M89" s="357">
        <v>13.05</v>
      </c>
      <c r="N89" s="357">
        <v>5.0591039084842704</v>
      </c>
      <c r="O89" s="357">
        <v>5.0230071200499138</v>
      </c>
      <c r="P89" s="76"/>
      <c r="Q89" s="76"/>
      <c r="R89" s="76">
        <v>13</v>
      </c>
    </row>
    <row r="90" spans="1:18" ht="24">
      <c r="A90" s="72">
        <v>52.37</v>
      </c>
      <c r="B90" s="65" t="s">
        <v>148</v>
      </c>
      <c r="C90" s="73" t="s">
        <v>149</v>
      </c>
      <c r="D90" s="74">
        <v>4123.42</v>
      </c>
      <c r="E90" s="74">
        <v>932.1</v>
      </c>
      <c r="F90" s="74">
        <v>20.98</v>
      </c>
      <c r="G90" s="74">
        <v>3170.34</v>
      </c>
      <c r="H90" s="75">
        <v>27523.14</v>
      </c>
      <c r="I90" s="75">
        <v>12163.97</v>
      </c>
      <c r="J90" s="75">
        <v>106.13</v>
      </c>
      <c r="K90" s="75">
        <v>15253.04</v>
      </c>
      <c r="L90" s="357">
        <v>6.6748330269533538</v>
      </c>
      <c r="M90" s="357">
        <v>13.05</v>
      </c>
      <c r="N90" s="357">
        <v>5.0586272640610099</v>
      </c>
      <c r="O90" s="357">
        <v>4.811168518203095</v>
      </c>
      <c r="P90" s="76"/>
      <c r="Q90" s="76"/>
      <c r="R90" s="76">
        <v>13</v>
      </c>
    </row>
    <row r="91" spans="1:18" ht="24">
      <c r="A91" s="77">
        <v>52.38</v>
      </c>
      <c r="B91" s="78" t="s">
        <v>150</v>
      </c>
      <c r="C91" s="79" t="s">
        <v>151</v>
      </c>
      <c r="D91" s="80">
        <v>1759.96</v>
      </c>
      <c r="E91" s="80">
        <v>205.25</v>
      </c>
      <c r="F91" s="80">
        <v>10.49</v>
      </c>
      <c r="G91" s="80">
        <v>1544.22</v>
      </c>
      <c r="H91" s="81">
        <v>10119.14</v>
      </c>
      <c r="I91" s="81">
        <v>2678.56</v>
      </c>
      <c r="J91" s="81">
        <v>53.07</v>
      </c>
      <c r="K91" s="81">
        <v>7387.51</v>
      </c>
      <c r="L91" s="356">
        <v>5.7496420373190293</v>
      </c>
      <c r="M91" s="356">
        <v>13.05</v>
      </c>
      <c r="N91" s="356">
        <v>5.0591039084842704</v>
      </c>
      <c r="O91" s="356">
        <v>4.7839750812708033</v>
      </c>
      <c r="P91" s="82"/>
      <c r="Q91" s="82"/>
      <c r="R91" s="82">
        <v>13</v>
      </c>
    </row>
    <row r="92" spans="1:18" ht="12.75">
      <c r="A92" s="428" t="s">
        <v>152</v>
      </c>
      <c r="B92" s="429"/>
      <c r="C92" s="429"/>
      <c r="D92" s="429"/>
      <c r="E92" s="429"/>
      <c r="F92" s="429"/>
      <c r="G92" s="429"/>
      <c r="H92" s="429"/>
      <c r="I92" s="429"/>
      <c r="J92" s="429"/>
      <c r="K92" s="429"/>
      <c r="L92" s="429"/>
      <c r="M92" s="429"/>
      <c r="N92" s="429"/>
      <c r="O92" s="429"/>
      <c r="P92" s="429"/>
      <c r="Q92" s="429"/>
      <c r="R92" s="429"/>
    </row>
    <row r="93" spans="1:18">
      <c r="A93" s="77">
        <v>52.39</v>
      </c>
      <c r="B93" s="78" t="s">
        <v>153</v>
      </c>
      <c r="C93" s="79" t="s">
        <v>154</v>
      </c>
      <c r="D93" s="80">
        <v>1965.41</v>
      </c>
      <c r="E93" s="80">
        <v>320.99</v>
      </c>
      <c r="F93" s="80">
        <v>6.29</v>
      </c>
      <c r="G93" s="80">
        <v>1638.13</v>
      </c>
      <c r="H93" s="81">
        <v>13781.11</v>
      </c>
      <c r="I93" s="81">
        <v>4188.87</v>
      </c>
      <c r="J93" s="81">
        <v>31.84</v>
      </c>
      <c r="K93" s="81">
        <v>9560.4</v>
      </c>
      <c r="L93" s="356">
        <v>7.0118245048107015</v>
      </c>
      <c r="M93" s="356">
        <v>13.05</v>
      </c>
      <c r="N93" s="356">
        <v>5.0620031796502385</v>
      </c>
      <c r="O93" s="356">
        <v>5.8361668487848943</v>
      </c>
      <c r="P93" s="82"/>
      <c r="Q93" s="82"/>
      <c r="R93" s="82">
        <v>14</v>
      </c>
    </row>
    <row r="94" spans="1:18" ht="12.75">
      <c r="A94" s="428" t="s">
        <v>155</v>
      </c>
      <c r="B94" s="429"/>
      <c r="C94" s="429"/>
      <c r="D94" s="429"/>
      <c r="E94" s="429"/>
      <c r="F94" s="429"/>
      <c r="G94" s="429"/>
      <c r="H94" s="429"/>
      <c r="I94" s="429"/>
      <c r="J94" s="429"/>
      <c r="K94" s="429"/>
      <c r="L94" s="429"/>
      <c r="M94" s="429"/>
      <c r="N94" s="429"/>
      <c r="O94" s="429"/>
      <c r="P94" s="429"/>
      <c r="Q94" s="429"/>
      <c r="R94" s="429"/>
    </row>
    <row r="95" spans="1:18">
      <c r="A95" s="77">
        <v>52.4</v>
      </c>
      <c r="B95" s="78" t="s">
        <v>156</v>
      </c>
      <c r="C95" s="79" t="s">
        <v>157</v>
      </c>
      <c r="D95" s="80">
        <v>1736.79</v>
      </c>
      <c r="E95" s="80">
        <v>673.5</v>
      </c>
      <c r="F95" s="80">
        <v>1.05</v>
      </c>
      <c r="G95" s="80">
        <v>1062.24</v>
      </c>
      <c r="H95" s="81">
        <v>16751.91</v>
      </c>
      <c r="I95" s="81">
        <v>8789.0499999999993</v>
      </c>
      <c r="J95" s="81">
        <v>5.31</v>
      </c>
      <c r="K95" s="81">
        <v>7957.55</v>
      </c>
      <c r="L95" s="356">
        <v>9.645328450762614</v>
      </c>
      <c r="M95" s="356">
        <v>13.05</v>
      </c>
      <c r="N95" s="356">
        <v>5.0571428571428569</v>
      </c>
      <c r="O95" s="356">
        <v>7.4912919867449919</v>
      </c>
      <c r="P95" s="82"/>
      <c r="Q95" s="82"/>
      <c r="R95" s="82">
        <v>15</v>
      </c>
    </row>
    <row r="96" spans="1:18" ht="12.75">
      <c r="A96" s="428" t="s">
        <v>158</v>
      </c>
      <c r="B96" s="429"/>
      <c r="C96" s="429"/>
      <c r="D96" s="429"/>
      <c r="E96" s="429"/>
      <c r="F96" s="429"/>
      <c r="G96" s="429"/>
      <c r="H96" s="429"/>
      <c r="I96" s="429"/>
      <c r="J96" s="429"/>
      <c r="K96" s="429"/>
      <c r="L96" s="429"/>
      <c r="M96" s="429"/>
      <c r="N96" s="429"/>
      <c r="O96" s="429"/>
      <c r="P96" s="429"/>
      <c r="Q96" s="429"/>
      <c r="R96" s="429"/>
    </row>
    <row r="97" spans="1:18">
      <c r="A97" s="72">
        <v>52.41</v>
      </c>
      <c r="B97" s="65" t="s">
        <v>159</v>
      </c>
      <c r="C97" s="73" t="s">
        <v>160</v>
      </c>
      <c r="D97" s="74">
        <v>340.8</v>
      </c>
      <c r="E97" s="74">
        <v>41.4</v>
      </c>
      <c r="F97" s="74">
        <v>1.05</v>
      </c>
      <c r="G97" s="74">
        <v>298.35000000000002</v>
      </c>
      <c r="H97" s="75">
        <v>2165.4</v>
      </c>
      <c r="I97" s="75">
        <v>540.32000000000005</v>
      </c>
      <c r="J97" s="75">
        <v>5.31</v>
      </c>
      <c r="K97" s="75">
        <v>1619.77</v>
      </c>
      <c r="L97" s="357">
        <v>6.35387323943662</v>
      </c>
      <c r="M97" s="357">
        <v>13.05</v>
      </c>
      <c r="N97" s="357">
        <v>5.0571428571428569</v>
      </c>
      <c r="O97" s="357">
        <v>5.4290933467404052</v>
      </c>
      <c r="P97" s="76"/>
      <c r="Q97" s="76"/>
      <c r="R97" s="76">
        <v>16</v>
      </c>
    </row>
    <row r="98" spans="1:18">
      <c r="A98" s="72">
        <v>52.42</v>
      </c>
      <c r="B98" s="65" t="s">
        <v>161</v>
      </c>
      <c r="C98" s="73" t="s">
        <v>162</v>
      </c>
      <c r="D98" s="74">
        <v>562.51</v>
      </c>
      <c r="E98" s="74">
        <v>28.61</v>
      </c>
      <c r="F98" s="74">
        <v>1.05</v>
      </c>
      <c r="G98" s="74">
        <v>532.85</v>
      </c>
      <c r="H98" s="75">
        <v>2304.09</v>
      </c>
      <c r="I98" s="75">
        <v>373.31</v>
      </c>
      <c r="J98" s="75">
        <v>5.31</v>
      </c>
      <c r="K98" s="75">
        <v>1925.47</v>
      </c>
      <c r="L98" s="357">
        <v>4.0960871806723436</v>
      </c>
      <c r="M98" s="357">
        <v>13.05</v>
      </c>
      <c r="N98" s="357">
        <v>5.0571428571428569</v>
      </c>
      <c r="O98" s="357">
        <v>3.6135310124800601</v>
      </c>
      <c r="P98" s="76"/>
      <c r="Q98" s="76"/>
      <c r="R98" s="76">
        <v>16</v>
      </c>
    </row>
    <row r="99" spans="1:18" ht="24">
      <c r="A99" s="72">
        <v>52.43</v>
      </c>
      <c r="B99" s="65" t="s">
        <v>163</v>
      </c>
      <c r="C99" s="73" t="s">
        <v>164</v>
      </c>
      <c r="D99" s="74">
        <v>2783.1</v>
      </c>
      <c r="E99" s="74">
        <v>394.13</v>
      </c>
      <c r="F99" s="74">
        <v>10.49</v>
      </c>
      <c r="G99" s="74">
        <v>2378.48</v>
      </c>
      <c r="H99" s="75">
        <v>18104.009999999998</v>
      </c>
      <c r="I99" s="75">
        <v>5143.25</v>
      </c>
      <c r="J99" s="75">
        <v>53.07</v>
      </c>
      <c r="K99" s="75">
        <v>12907.69</v>
      </c>
      <c r="L99" s="357">
        <v>6.5049800582084725</v>
      </c>
      <c r="M99" s="357">
        <v>13.05</v>
      </c>
      <c r="N99" s="357">
        <v>5.0591039084842704</v>
      </c>
      <c r="O99" s="357">
        <v>5.4268650566748518</v>
      </c>
      <c r="P99" s="76"/>
      <c r="Q99" s="76"/>
      <c r="R99" s="76">
        <v>16</v>
      </c>
    </row>
    <row r="100" spans="1:18" ht="12.75">
      <c r="A100" s="63"/>
      <c r="B100" s="69"/>
      <c r="C100" s="68"/>
      <c r="D100" s="70"/>
      <c r="E100" s="70"/>
      <c r="F100" s="70"/>
      <c r="G100" s="70"/>
      <c r="H100" s="71"/>
      <c r="I100" s="71"/>
      <c r="J100" s="71"/>
      <c r="K100" s="71"/>
      <c r="L100" s="355"/>
      <c r="M100" s="355"/>
      <c r="N100" s="355"/>
      <c r="O100" s="354"/>
      <c r="P100" s="62"/>
      <c r="Q100" s="62"/>
      <c r="R100" s="62"/>
    </row>
    <row r="101" spans="1:18">
      <c r="O101" s="353"/>
    </row>
    <row r="102" spans="1:18">
      <c r="O102" s="353"/>
    </row>
    <row r="103" spans="1:18">
      <c r="O103" s="352"/>
    </row>
    <row r="104" spans="1:18" ht="23.25">
      <c r="A104" s="61"/>
      <c r="B104" s="60"/>
      <c r="C104" s="45" t="s">
        <v>166</v>
      </c>
      <c r="D104" s="45"/>
      <c r="E104" s="45"/>
      <c r="F104" s="45"/>
      <c r="G104" s="45"/>
      <c r="H104" s="58"/>
      <c r="I104" s="58"/>
      <c r="J104" s="58"/>
      <c r="K104" s="58"/>
      <c r="L104" s="351"/>
      <c r="M104" s="351"/>
      <c r="N104" s="351"/>
      <c r="O104" s="350"/>
    </row>
    <row r="105" spans="1:18" ht="12.75">
      <c r="A105" s="428" t="s">
        <v>167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429"/>
      <c r="L105" s="429"/>
      <c r="M105" s="429"/>
      <c r="N105" s="429"/>
      <c r="O105" s="429"/>
      <c r="P105" s="429"/>
      <c r="Q105" s="429"/>
      <c r="R105" s="429"/>
    </row>
    <row r="106" spans="1:18" ht="24">
      <c r="A106" s="93">
        <v>53.1</v>
      </c>
      <c r="B106" s="86" t="s">
        <v>168</v>
      </c>
      <c r="C106" s="94" t="s">
        <v>169</v>
      </c>
      <c r="D106" s="95">
        <v>167.45</v>
      </c>
      <c r="E106" s="95">
        <v>111.07</v>
      </c>
      <c r="F106" s="95">
        <v>56.38</v>
      </c>
      <c r="G106" s="95"/>
      <c r="H106" s="96">
        <v>1963</v>
      </c>
      <c r="I106" s="96">
        <v>1449.43</v>
      </c>
      <c r="J106" s="96">
        <v>513.57000000000005</v>
      </c>
      <c r="K106" s="96"/>
      <c r="L106" s="357">
        <v>11.722902358913109</v>
      </c>
      <c r="M106" s="357">
        <v>13.05</v>
      </c>
      <c r="N106" s="357">
        <v>9.1090812344803123</v>
      </c>
      <c r="O106" s="357" t="s">
        <v>135</v>
      </c>
      <c r="P106" s="97"/>
      <c r="Q106" s="97"/>
      <c r="R106" s="97">
        <v>1</v>
      </c>
    </row>
    <row r="107" spans="1:18" ht="24">
      <c r="A107" s="93">
        <v>53.2</v>
      </c>
      <c r="B107" s="86" t="s">
        <v>170</v>
      </c>
      <c r="C107" s="94" t="s">
        <v>171</v>
      </c>
      <c r="D107" s="95">
        <v>652.52</v>
      </c>
      <c r="E107" s="95">
        <v>375.65</v>
      </c>
      <c r="F107" s="95">
        <v>276.87</v>
      </c>
      <c r="G107" s="95"/>
      <c r="H107" s="96">
        <v>7424.32</v>
      </c>
      <c r="I107" s="96">
        <v>4902.1400000000003</v>
      </c>
      <c r="J107" s="96">
        <v>2522.1799999999998</v>
      </c>
      <c r="K107" s="96"/>
      <c r="L107" s="357">
        <v>11.377919450744805</v>
      </c>
      <c r="M107" s="357">
        <v>13.05</v>
      </c>
      <c r="N107" s="357">
        <v>9.1096182323834292</v>
      </c>
      <c r="O107" s="357" t="s">
        <v>135</v>
      </c>
      <c r="P107" s="97"/>
      <c r="Q107" s="97"/>
      <c r="R107" s="97">
        <v>1</v>
      </c>
    </row>
    <row r="108" spans="1:18">
      <c r="A108" s="93">
        <v>53.3</v>
      </c>
      <c r="B108" s="86" t="s">
        <v>172</v>
      </c>
      <c r="C108" s="94" t="s">
        <v>173</v>
      </c>
      <c r="D108" s="95">
        <v>858.39</v>
      </c>
      <c r="E108" s="95">
        <v>481.3</v>
      </c>
      <c r="F108" s="95">
        <v>377.09</v>
      </c>
      <c r="G108" s="95"/>
      <c r="H108" s="96">
        <v>9715.89</v>
      </c>
      <c r="I108" s="96">
        <v>6280.7</v>
      </c>
      <c r="J108" s="96">
        <v>3435.19</v>
      </c>
      <c r="K108" s="96"/>
      <c r="L108" s="357">
        <v>11.318736238772585</v>
      </c>
      <c r="M108" s="357">
        <v>13.05</v>
      </c>
      <c r="N108" s="357">
        <v>9.1097350765069347</v>
      </c>
      <c r="O108" s="357" t="s">
        <v>135</v>
      </c>
      <c r="P108" s="97"/>
      <c r="Q108" s="97"/>
      <c r="R108" s="97">
        <v>1</v>
      </c>
    </row>
    <row r="109" spans="1:18">
      <c r="A109" s="93">
        <v>53.4</v>
      </c>
      <c r="B109" s="86" t="s">
        <v>174</v>
      </c>
      <c r="C109" s="94" t="s">
        <v>175</v>
      </c>
      <c r="D109" s="95">
        <v>814.21</v>
      </c>
      <c r="E109" s="95">
        <v>454.66</v>
      </c>
      <c r="F109" s="95">
        <v>359.55</v>
      </c>
      <c r="G109" s="95"/>
      <c r="H109" s="96">
        <v>9208.48</v>
      </c>
      <c r="I109" s="96">
        <v>5933.06</v>
      </c>
      <c r="J109" s="96">
        <v>3275.42</v>
      </c>
      <c r="K109" s="96"/>
      <c r="L109" s="357">
        <v>11.309711253853427</v>
      </c>
      <c r="M109" s="357">
        <v>13.05</v>
      </c>
      <c r="N109" s="357">
        <v>9.1097761090251694</v>
      </c>
      <c r="O109" s="357" t="s">
        <v>135</v>
      </c>
      <c r="P109" s="97"/>
      <c r="Q109" s="97"/>
      <c r="R109" s="97">
        <v>1</v>
      </c>
    </row>
    <row r="110" spans="1:18">
      <c r="A110" s="93">
        <v>53.5</v>
      </c>
      <c r="B110" s="86" t="s">
        <v>176</v>
      </c>
      <c r="C110" s="94" t="s">
        <v>177</v>
      </c>
      <c r="D110" s="95">
        <v>1270.75</v>
      </c>
      <c r="E110" s="95">
        <v>766.65</v>
      </c>
      <c r="F110" s="95">
        <v>504.1</v>
      </c>
      <c r="G110" s="95"/>
      <c r="H110" s="96">
        <v>14562.73</v>
      </c>
      <c r="I110" s="96">
        <v>10004.620000000001</v>
      </c>
      <c r="J110" s="96">
        <v>4558.1099999999997</v>
      </c>
      <c r="K110" s="96"/>
      <c r="L110" s="357">
        <v>11.459948849104858</v>
      </c>
      <c r="M110" s="357">
        <v>13.05</v>
      </c>
      <c r="N110" s="357">
        <v>9.0420749851219977</v>
      </c>
      <c r="O110" s="357" t="s">
        <v>135</v>
      </c>
      <c r="P110" s="97"/>
      <c r="Q110" s="97"/>
      <c r="R110" s="97">
        <v>1</v>
      </c>
    </row>
    <row r="111" spans="1:18">
      <c r="A111" s="93">
        <v>53.6</v>
      </c>
      <c r="B111" s="86" t="s">
        <v>178</v>
      </c>
      <c r="C111" s="94" t="s">
        <v>179</v>
      </c>
      <c r="D111" s="95">
        <v>1712.27</v>
      </c>
      <c r="E111" s="95">
        <v>919.25</v>
      </c>
      <c r="F111" s="95">
        <v>793.02</v>
      </c>
      <c r="G111" s="95"/>
      <c r="H111" s="96">
        <v>19220.29</v>
      </c>
      <c r="I111" s="96">
        <v>11996.11</v>
      </c>
      <c r="J111" s="96">
        <v>7224.18</v>
      </c>
      <c r="K111" s="96"/>
      <c r="L111" s="357">
        <v>11.225034603187583</v>
      </c>
      <c r="M111" s="357">
        <v>13.05</v>
      </c>
      <c r="N111" s="357">
        <v>9.1097071952788085</v>
      </c>
      <c r="O111" s="357" t="s">
        <v>135</v>
      </c>
      <c r="P111" s="97"/>
      <c r="Q111" s="97"/>
      <c r="R111" s="97">
        <v>1</v>
      </c>
    </row>
    <row r="112" spans="1:18">
      <c r="A112" s="93">
        <v>53.7</v>
      </c>
      <c r="B112" s="86" t="s">
        <v>180</v>
      </c>
      <c r="C112" s="94" t="s">
        <v>181</v>
      </c>
      <c r="D112" s="95">
        <v>2098.35</v>
      </c>
      <c r="E112" s="95">
        <v>1161.26</v>
      </c>
      <c r="F112" s="95">
        <v>937.09</v>
      </c>
      <c r="G112" s="95"/>
      <c r="H112" s="96">
        <v>23690.84</v>
      </c>
      <c r="I112" s="96">
        <v>15154.22</v>
      </c>
      <c r="J112" s="96">
        <v>8536.6200000000008</v>
      </c>
      <c r="K112" s="96"/>
      <c r="L112" s="357">
        <v>11.290223270665047</v>
      </c>
      <c r="M112" s="357">
        <v>13.05</v>
      </c>
      <c r="N112" s="357">
        <v>9.1097119807062299</v>
      </c>
      <c r="O112" s="357" t="s">
        <v>135</v>
      </c>
      <c r="P112" s="97"/>
      <c r="Q112" s="97"/>
      <c r="R112" s="97">
        <v>1</v>
      </c>
    </row>
    <row r="113" spans="1:18">
      <c r="A113" s="93">
        <v>53.8</v>
      </c>
      <c r="B113" s="86" t="s">
        <v>182</v>
      </c>
      <c r="C113" s="94" t="s">
        <v>183</v>
      </c>
      <c r="D113" s="95">
        <v>1380.04</v>
      </c>
      <c r="E113" s="95">
        <v>832.57</v>
      </c>
      <c r="F113" s="95">
        <v>547.47</v>
      </c>
      <c r="G113" s="95"/>
      <c r="H113" s="96">
        <v>15852.16</v>
      </c>
      <c r="I113" s="96">
        <v>10864.85</v>
      </c>
      <c r="J113" s="96">
        <v>4987.3100000000004</v>
      </c>
      <c r="K113" s="96"/>
      <c r="L113" s="357">
        <v>11.486739514796673</v>
      </c>
      <c r="M113" s="357">
        <v>13.05</v>
      </c>
      <c r="N113" s="357">
        <v>9.1097411730323117</v>
      </c>
      <c r="O113" s="357" t="s">
        <v>135</v>
      </c>
      <c r="P113" s="97"/>
      <c r="Q113" s="97"/>
      <c r="R113" s="97">
        <v>1</v>
      </c>
    </row>
    <row r="114" spans="1:18">
      <c r="A114" s="98">
        <v>53.9</v>
      </c>
      <c r="B114" s="99" t="s">
        <v>184</v>
      </c>
      <c r="C114" s="100" t="s">
        <v>185</v>
      </c>
      <c r="D114" s="101">
        <v>1916.22</v>
      </c>
      <c r="E114" s="101">
        <v>1227.18</v>
      </c>
      <c r="F114" s="101">
        <v>689.04</v>
      </c>
      <c r="G114" s="101"/>
      <c r="H114" s="102">
        <v>22291.39</v>
      </c>
      <c r="I114" s="102">
        <v>16014.46</v>
      </c>
      <c r="J114" s="102">
        <v>6276.93</v>
      </c>
      <c r="K114" s="102"/>
      <c r="L114" s="356">
        <v>11.633001429898446</v>
      </c>
      <c r="M114" s="356">
        <v>13.05</v>
      </c>
      <c r="N114" s="356">
        <v>9.1096743295019174</v>
      </c>
      <c r="O114" s="356" t="s">
        <v>135</v>
      </c>
      <c r="P114" s="103"/>
      <c r="Q114" s="103"/>
      <c r="R114" s="103">
        <v>1</v>
      </c>
    </row>
    <row r="115" spans="1:18" ht="12.75">
      <c r="A115" s="428" t="s">
        <v>186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429"/>
      <c r="L115" s="429"/>
      <c r="M115" s="429"/>
      <c r="N115" s="429"/>
      <c r="O115" s="429"/>
      <c r="P115" s="429"/>
      <c r="Q115" s="429"/>
      <c r="R115" s="429"/>
    </row>
    <row r="116" spans="1:18" ht="24">
      <c r="A116" s="93">
        <v>53.1</v>
      </c>
      <c r="B116" s="86" t="s">
        <v>187</v>
      </c>
      <c r="C116" s="94" t="s">
        <v>188</v>
      </c>
      <c r="D116" s="95">
        <v>117.66</v>
      </c>
      <c r="E116" s="95">
        <v>100.65</v>
      </c>
      <c r="F116" s="95">
        <v>10.19</v>
      </c>
      <c r="G116" s="95">
        <v>6.82</v>
      </c>
      <c r="H116" s="96">
        <v>1405.09</v>
      </c>
      <c r="I116" s="96">
        <v>1313.47</v>
      </c>
      <c r="J116" s="96">
        <v>60.64</v>
      </c>
      <c r="K116" s="96">
        <v>30.98</v>
      </c>
      <c r="L116" s="357">
        <v>11.941951385347611</v>
      </c>
      <c r="M116" s="357">
        <v>13.05</v>
      </c>
      <c r="N116" s="357">
        <v>5.9509322865554468</v>
      </c>
      <c r="O116" s="357">
        <v>4.5425219941348969</v>
      </c>
      <c r="P116" s="97"/>
      <c r="Q116" s="97"/>
      <c r="R116" s="97">
        <v>2</v>
      </c>
    </row>
    <row r="117" spans="1:18" ht="24">
      <c r="A117" s="93">
        <v>53.11</v>
      </c>
      <c r="B117" s="86" t="s">
        <v>189</v>
      </c>
      <c r="C117" s="94" t="s">
        <v>190</v>
      </c>
      <c r="D117" s="95">
        <v>116.84</v>
      </c>
      <c r="E117" s="95">
        <v>100.54</v>
      </c>
      <c r="F117" s="95">
        <v>9.48</v>
      </c>
      <c r="G117" s="95">
        <v>6.82</v>
      </c>
      <c r="H117" s="96">
        <v>1399.13</v>
      </c>
      <c r="I117" s="96">
        <v>1311.98</v>
      </c>
      <c r="J117" s="96">
        <v>56.17</v>
      </c>
      <c r="K117" s="96">
        <v>30.98</v>
      </c>
      <c r="L117" s="357">
        <v>11.974751797329683</v>
      </c>
      <c r="M117" s="357">
        <v>13.05</v>
      </c>
      <c r="N117" s="357">
        <v>5.9251054852320673</v>
      </c>
      <c r="O117" s="357">
        <v>4.5425219941348969</v>
      </c>
      <c r="P117" s="97"/>
      <c r="Q117" s="97"/>
      <c r="R117" s="97">
        <v>2</v>
      </c>
    </row>
    <row r="118" spans="1:18" ht="24">
      <c r="A118" s="98">
        <v>53.12</v>
      </c>
      <c r="B118" s="99" t="s">
        <v>191</v>
      </c>
      <c r="C118" s="100" t="s">
        <v>192</v>
      </c>
      <c r="D118" s="101">
        <v>46.15</v>
      </c>
      <c r="E118" s="101">
        <v>33.64</v>
      </c>
      <c r="F118" s="101">
        <v>5.69</v>
      </c>
      <c r="G118" s="101">
        <v>6.82</v>
      </c>
      <c r="H118" s="102">
        <v>503.46</v>
      </c>
      <c r="I118" s="102">
        <v>439.06</v>
      </c>
      <c r="J118" s="102">
        <v>33.42</v>
      </c>
      <c r="K118" s="102">
        <v>30.98</v>
      </c>
      <c r="L118" s="356">
        <v>10.909209100758396</v>
      </c>
      <c r="M118" s="356">
        <v>13.05</v>
      </c>
      <c r="N118" s="356">
        <v>5.8734622144112478</v>
      </c>
      <c r="O118" s="356">
        <v>4.5425219941348969</v>
      </c>
      <c r="P118" s="103"/>
      <c r="Q118" s="103"/>
      <c r="R118" s="103">
        <v>2</v>
      </c>
    </row>
    <row r="119" spans="1:18" ht="12.75">
      <c r="A119" s="428" t="s">
        <v>193</v>
      </c>
      <c r="B119" s="429"/>
      <c r="C119" s="429"/>
      <c r="D119" s="429"/>
      <c r="E119" s="429"/>
      <c r="F119" s="429"/>
      <c r="G119" s="429"/>
      <c r="H119" s="429"/>
      <c r="I119" s="429"/>
      <c r="J119" s="429"/>
      <c r="K119" s="429"/>
      <c r="L119" s="429"/>
      <c r="M119" s="429"/>
      <c r="N119" s="429"/>
      <c r="O119" s="429"/>
      <c r="P119" s="429"/>
      <c r="Q119" s="429"/>
      <c r="R119" s="429"/>
    </row>
    <row r="120" spans="1:18" ht="24">
      <c r="A120" s="93">
        <v>53.13</v>
      </c>
      <c r="B120" s="86" t="s">
        <v>194</v>
      </c>
      <c r="C120" s="94" t="s">
        <v>195</v>
      </c>
      <c r="D120" s="95">
        <v>2970.69</v>
      </c>
      <c r="E120" s="95">
        <v>1174.02</v>
      </c>
      <c r="F120" s="95">
        <v>131.15</v>
      </c>
      <c r="G120" s="95">
        <v>1665.52</v>
      </c>
      <c r="H120" s="96">
        <v>23263.46</v>
      </c>
      <c r="I120" s="96">
        <v>15320.73</v>
      </c>
      <c r="J120" s="96">
        <v>668.92</v>
      </c>
      <c r="K120" s="96">
        <v>7273.81</v>
      </c>
      <c r="L120" s="357">
        <v>7.8309954926296577</v>
      </c>
      <c r="M120" s="357">
        <v>13.05</v>
      </c>
      <c r="N120" s="357">
        <v>5.1004193671368654</v>
      </c>
      <c r="O120" s="357">
        <v>4.3672906959988476</v>
      </c>
      <c r="P120" s="97"/>
      <c r="Q120" s="97"/>
      <c r="R120" s="97">
        <v>3</v>
      </c>
    </row>
    <row r="121" spans="1:18" ht="24">
      <c r="A121" s="93">
        <v>53.14</v>
      </c>
      <c r="B121" s="86" t="s">
        <v>196</v>
      </c>
      <c r="C121" s="94" t="s">
        <v>197</v>
      </c>
      <c r="D121" s="95">
        <v>4667.49</v>
      </c>
      <c r="E121" s="95">
        <v>1052.06</v>
      </c>
      <c r="F121" s="95">
        <v>81.13</v>
      </c>
      <c r="G121" s="95">
        <v>3534.3</v>
      </c>
      <c r="H121" s="96">
        <v>27052.65</v>
      </c>
      <c r="I121" s="96">
        <v>13729.25</v>
      </c>
      <c r="J121" s="96">
        <v>412.23</v>
      </c>
      <c r="K121" s="96">
        <v>12911.17</v>
      </c>
      <c r="L121" s="357">
        <v>5.7959738531844742</v>
      </c>
      <c r="M121" s="357">
        <v>13.05</v>
      </c>
      <c r="N121" s="357">
        <v>5.0811044003451258</v>
      </c>
      <c r="O121" s="357">
        <v>3.6531052825170471</v>
      </c>
      <c r="P121" s="97"/>
      <c r="Q121" s="97"/>
      <c r="R121" s="97">
        <v>3</v>
      </c>
    </row>
    <row r="122" spans="1:18" ht="24">
      <c r="A122" s="93">
        <v>53.15</v>
      </c>
      <c r="B122" s="86" t="s">
        <v>198</v>
      </c>
      <c r="C122" s="94" t="s">
        <v>199</v>
      </c>
      <c r="D122" s="95">
        <v>1309.92</v>
      </c>
      <c r="E122" s="95">
        <v>494.49</v>
      </c>
      <c r="F122" s="95">
        <v>109.65</v>
      </c>
      <c r="G122" s="95">
        <v>705.78</v>
      </c>
      <c r="H122" s="96">
        <v>10008.81</v>
      </c>
      <c r="I122" s="96">
        <v>6453.01</v>
      </c>
      <c r="J122" s="96">
        <v>580.55999999999995</v>
      </c>
      <c r="K122" s="96">
        <v>2975.24</v>
      </c>
      <c r="L122" s="357">
        <v>7.6407795895932571</v>
      </c>
      <c r="M122" s="357">
        <v>13.05</v>
      </c>
      <c r="N122" s="357">
        <v>5.2946648426812581</v>
      </c>
      <c r="O122" s="357">
        <v>4.2155345858482809</v>
      </c>
      <c r="P122" s="97"/>
      <c r="Q122" s="97"/>
      <c r="R122" s="97">
        <v>3</v>
      </c>
    </row>
    <row r="123" spans="1:18" ht="36">
      <c r="A123" s="98">
        <v>53.16</v>
      </c>
      <c r="B123" s="99" t="s">
        <v>200</v>
      </c>
      <c r="C123" s="100" t="s">
        <v>201</v>
      </c>
      <c r="D123" s="101">
        <v>2295.31</v>
      </c>
      <c r="E123" s="101">
        <v>313.63</v>
      </c>
      <c r="F123" s="101">
        <v>50.72</v>
      </c>
      <c r="G123" s="101">
        <v>1930.96</v>
      </c>
      <c r="H123" s="102">
        <v>11396.54</v>
      </c>
      <c r="I123" s="102">
        <v>4092.79</v>
      </c>
      <c r="J123" s="102">
        <v>273.83</v>
      </c>
      <c r="K123" s="102">
        <v>7029.92</v>
      </c>
      <c r="L123" s="356">
        <v>4.965141963394923</v>
      </c>
      <c r="M123" s="356">
        <v>13.05</v>
      </c>
      <c r="N123" s="356">
        <v>5.3988564668769712</v>
      </c>
      <c r="O123" s="356">
        <v>3.6406347101959646</v>
      </c>
      <c r="P123" s="103"/>
      <c r="Q123" s="103"/>
      <c r="R123" s="103">
        <v>3</v>
      </c>
    </row>
    <row r="124" spans="1:18" ht="12.75">
      <c r="A124" s="428" t="s">
        <v>202</v>
      </c>
      <c r="B124" s="429"/>
      <c r="C124" s="429"/>
      <c r="D124" s="429"/>
      <c r="E124" s="429"/>
      <c r="F124" s="429"/>
      <c r="G124" s="429"/>
      <c r="H124" s="429"/>
      <c r="I124" s="429"/>
      <c r="J124" s="429"/>
      <c r="K124" s="429"/>
      <c r="L124" s="429"/>
      <c r="M124" s="429"/>
      <c r="N124" s="429"/>
      <c r="O124" s="429"/>
      <c r="P124" s="429"/>
      <c r="Q124" s="429"/>
      <c r="R124" s="429"/>
    </row>
    <row r="125" spans="1:18" ht="24">
      <c r="A125" s="93">
        <v>53.17</v>
      </c>
      <c r="B125" s="86" t="s">
        <v>203</v>
      </c>
      <c r="C125" s="94" t="s">
        <v>204</v>
      </c>
      <c r="D125" s="95">
        <v>6611.63</v>
      </c>
      <c r="E125" s="95">
        <v>4172.8100000000004</v>
      </c>
      <c r="F125" s="95">
        <v>131.13</v>
      </c>
      <c r="G125" s="95">
        <v>2307.69</v>
      </c>
      <c r="H125" s="96">
        <v>64949.52</v>
      </c>
      <c r="I125" s="96">
        <v>54455.31</v>
      </c>
      <c r="J125" s="96">
        <v>663.31</v>
      </c>
      <c r="K125" s="96">
        <v>9830.9</v>
      </c>
      <c r="L125" s="357">
        <v>9.8235261198826915</v>
      </c>
      <c r="M125" s="357">
        <v>13.05</v>
      </c>
      <c r="N125" s="357">
        <v>5.05841531304812</v>
      </c>
      <c r="O125" s="357">
        <v>4.2600609267275935</v>
      </c>
      <c r="P125" s="97"/>
      <c r="Q125" s="97"/>
      <c r="R125" s="97">
        <v>4</v>
      </c>
    </row>
    <row r="126" spans="1:18" ht="24">
      <c r="A126" s="93">
        <v>53.18</v>
      </c>
      <c r="B126" s="86" t="s">
        <v>205</v>
      </c>
      <c r="C126" s="94" t="s">
        <v>206</v>
      </c>
      <c r="D126" s="95">
        <v>9426.9699999999993</v>
      </c>
      <c r="E126" s="95">
        <v>4264.5200000000004</v>
      </c>
      <c r="F126" s="95">
        <v>94.41</v>
      </c>
      <c r="G126" s="95">
        <v>5068.04</v>
      </c>
      <c r="H126" s="96">
        <v>74427.63</v>
      </c>
      <c r="I126" s="96">
        <v>55652.13</v>
      </c>
      <c r="J126" s="96">
        <v>477.59</v>
      </c>
      <c r="K126" s="96">
        <v>18297.91</v>
      </c>
      <c r="L126" s="357">
        <v>7.8951805299051561</v>
      </c>
      <c r="M126" s="357">
        <v>13.05</v>
      </c>
      <c r="N126" s="357">
        <v>5.058680224552484</v>
      </c>
      <c r="O126" s="357">
        <v>3.6104509830230227</v>
      </c>
      <c r="P126" s="97"/>
      <c r="Q126" s="97"/>
      <c r="R126" s="97">
        <v>4</v>
      </c>
    </row>
    <row r="127" spans="1:18" ht="24">
      <c r="A127" s="93">
        <v>53.19</v>
      </c>
      <c r="B127" s="86" t="s">
        <v>207</v>
      </c>
      <c r="C127" s="94" t="s">
        <v>208</v>
      </c>
      <c r="D127" s="95">
        <v>5379.51</v>
      </c>
      <c r="E127" s="95">
        <v>3639.87</v>
      </c>
      <c r="F127" s="95">
        <v>87.07</v>
      </c>
      <c r="G127" s="95">
        <v>1652.57</v>
      </c>
      <c r="H127" s="96">
        <v>54886.32</v>
      </c>
      <c r="I127" s="96">
        <v>47500.46</v>
      </c>
      <c r="J127" s="96">
        <v>440.44</v>
      </c>
      <c r="K127" s="96">
        <v>6945.42</v>
      </c>
      <c r="L127" s="357">
        <v>10.202847471238087</v>
      </c>
      <c r="M127" s="357">
        <v>13.05</v>
      </c>
      <c r="N127" s="357">
        <v>5.0584587113816477</v>
      </c>
      <c r="O127" s="357">
        <v>4.2027992762787658</v>
      </c>
      <c r="P127" s="97"/>
      <c r="Q127" s="97"/>
      <c r="R127" s="97">
        <v>4</v>
      </c>
    </row>
    <row r="128" spans="1:18" ht="24">
      <c r="A128" s="98">
        <v>53.2</v>
      </c>
      <c r="B128" s="99" t="s">
        <v>209</v>
      </c>
      <c r="C128" s="100" t="s">
        <v>210</v>
      </c>
      <c r="D128" s="101">
        <v>7080.59</v>
      </c>
      <c r="E128" s="101">
        <v>3582.8</v>
      </c>
      <c r="F128" s="101">
        <v>60.84</v>
      </c>
      <c r="G128" s="101">
        <v>3436.95</v>
      </c>
      <c r="H128" s="102">
        <v>59358.239999999998</v>
      </c>
      <c r="I128" s="102">
        <v>46755.77</v>
      </c>
      <c r="J128" s="102">
        <v>307.77999999999997</v>
      </c>
      <c r="K128" s="102">
        <v>12294.69</v>
      </c>
      <c r="L128" s="356">
        <v>8.3832336005897812</v>
      </c>
      <c r="M128" s="356">
        <v>13.05</v>
      </c>
      <c r="N128" s="356">
        <v>5.0588428665351737</v>
      </c>
      <c r="O128" s="356">
        <v>3.5772094444201983</v>
      </c>
      <c r="P128" s="103"/>
      <c r="Q128" s="103"/>
      <c r="R128" s="103">
        <v>4</v>
      </c>
    </row>
    <row r="129" spans="1:18" ht="12.75">
      <c r="A129" s="428" t="s">
        <v>211</v>
      </c>
      <c r="B129" s="429"/>
      <c r="C129" s="429"/>
      <c r="D129" s="429"/>
      <c r="E129" s="429"/>
      <c r="F129" s="429"/>
      <c r="G129" s="429"/>
      <c r="H129" s="429"/>
      <c r="I129" s="429"/>
      <c r="J129" s="429"/>
      <c r="K129" s="429"/>
      <c r="L129" s="429"/>
      <c r="M129" s="429"/>
      <c r="N129" s="429"/>
      <c r="O129" s="429"/>
      <c r="P129" s="429"/>
      <c r="Q129" s="429"/>
      <c r="R129" s="429"/>
    </row>
    <row r="130" spans="1:18">
      <c r="A130" s="98">
        <v>53.21</v>
      </c>
      <c r="B130" s="99" t="s">
        <v>212</v>
      </c>
      <c r="C130" s="100" t="s">
        <v>213</v>
      </c>
      <c r="D130" s="101">
        <v>4484.59</v>
      </c>
      <c r="E130" s="101">
        <v>1397.25</v>
      </c>
      <c r="F130" s="101">
        <v>744.9</v>
      </c>
      <c r="G130" s="101">
        <v>2342.44</v>
      </c>
      <c r="H130" s="102">
        <v>44408.73</v>
      </c>
      <c r="I130" s="102">
        <v>18234.77</v>
      </c>
      <c r="J130" s="102">
        <v>6330.05</v>
      </c>
      <c r="K130" s="102">
        <v>19843.91</v>
      </c>
      <c r="L130" s="356">
        <v>9.9025172869760674</v>
      </c>
      <c r="M130" s="356">
        <v>13.05</v>
      </c>
      <c r="N130" s="356">
        <v>8.4978520606792856</v>
      </c>
      <c r="O130" s="356">
        <v>8.4714699202540942</v>
      </c>
      <c r="P130" s="103"/>
      <c r="Q130" s="103"/>
      <c r="R130" s="103">
        <v>5</v>
      </c>
    </row>
    <row r="131" spans="1:18" ht="12.75">
      <c r="A131" s="428" t="s">
        <v>214</v>
      </c>
      <c r="B131" s="429"/>
      <c r="C131" s="429"/>
      <c r="D131" s="429"/>
      <c r="E131" s="429"/>
      <c r="F131" s="429"/>
      <c r="G131" s="429"/>
      <c r="H131" s="429"/>
      <c r="I131" s="429"/>
      <c r="J131" s="429"/>
      <c r="K131" s="429"/>
      <c r="L131" s="429"/>
      <c r="M131" s="429"/>
      <c r="N131" s="429"/>
      <c r="O131" s="429"/>
      <c r="P131" s="429"/>
      <c r="Q131" s="429"/>
      <c r="R131" s="429"/>
    </row>
    <row r="132" spans="1:18" ht="24">
      <c r="A132" s="98">
        <v>53.22</v>
      </c>
      <c r="B132" s="99" t="s">
        <v>215</v>
      </c>
      <c r="C132" s="100" t="s">
        <v>216</v>
      </c>
      <c r="D132" s="101">
        <v>890.91</v>
      </c>
      <c r="E132" s="101">
        <v>332.73</v>
      </c>
      <c r="F132" s="101">
        <v>18.88</v>
      </c>
      <c r="G132" s="101">
        <v>539.29999999999995</v>
      </c>
      <c r="H132" s="102">
        <v>6441.32</v>
      </c>
      <c r="I132" s="102">
        <v>4342.0200000000004</v>
      </c>
      <c r="J132" s="102">
        <v>95.52</v>
      </c>
      <c r="K132" s="102">
        <v>2003.78</v>
      </c>
      <c r="L132" s="356">
        <v>7.2300456836268534</v>
      </c>
      <c r="M132" s="356">
        <v>13.05</v>
      </c>
      <c r="N132" s="356">
        <v>5.0593220338983054</v>
      </c>
      <c r="O132" s="356">
        <v>3.7155201186723534</v>
      </c>
      <c r="P132" s="103"/>
      <c r="Q132" s="103"/>
      <c r="R132" s="103">
        <v>6</v>
      </c>
    </row>
    <row r="133" spans="1:18" ht="12.75">
      <c r="A133" s="428" t="s">
        <v>217</v>
      </c>
      <c r="B133" s="429"/>
      <c r="C133" s="429"/>
      <c r="D133" s="429"/>
      <c r="E133" s="429"/>
      <c r="F133" s="429"/>
      <c r="G133" s="429"/>
      <c r="H133" s="429"/>
      <c r="I133" s="429"/>
      <c r="J133" s="429"/>
      <c r="K133" s="429"/>
      <c r="L133" s="429"/>
      <c r="M133" s="429"/>
      <c r="N133" s="429"/>
      <c r="O133" s="429"/>
      <c r="P133" s="429"/>
      <c r="Q133" s="429"/>
      <c r="R133" s="429"/>
    </row>
    <row r="134" spans="1:18" ht="24">
      <c r="A134" s="98">
        <v>53.23</v>
      </c>
      <c r="B134" s="99" t="s">
        <v>218</v>
      </c>
      <c r="C134" s="100" t="s">
        <v>219</v>
      </c>
      <c r="D134" s="101">
        <v>7886.3</v>
      </c>
      <c r="E134" s="101">
        <v>922.42</v>
      </c>
      <c r="F134" s="101">
        <v>463.23</v>
      </c>
      <c r="G134" s="101">
        <v>6500.65</v>
      </c>
      <c r="H134" s="102">
        <v>47262.51</v>
      </c>
      <c r="I134" s="102">
        <v>12037.74</v>
      </c>
      <c r="J134" s="102">
        <v>3812.5</v>
      </c>
      <c r="K134" s="102">
        <v>31412.27</v>
      </c>
      <c r="L134" s="356">
        <v>5.9929891076930879</v>
      </c>
      <c r="M134" s="356">
        <v>13.05</v>
      </c>
      <c r="N134" s="356">
        <v>8.2302527901906171</v>
      </c>
      <c r="O134" s="356">
        <v>4.832173705706353</v>
      </c>
      <c r="P134" s="103"/>
      <c r="Q134" s="103"/>
      <c r="R134" s="103">
        <v>7</v>
      </c>
    </row>
    <row r="135" spans="1:18" ht="12.75">
      <c r="A135" s="428" t="s">
        <v>220</v>
      </c>
      <c r="B135" s="429"/>
      <c r="C135" s="429"/>
      <c r="D135" s="429"/>
      <c r="E135" s="429"/>
      <c r="F135" s="429"/>
      <c r="G135" s="429"/>
      <c r="H135" s="429"/>
      <c r="I135" s="429"/>
      <c r="J135" s="429"/>
      <c r="K135" s="429"/>
      <c r="L135" s="429"/>
      <c r="M135" s="429"/>
      <c r="N135" s="429"/>
      <c r="O135" s="429"/>
      <c r="P135" s="429"/>
      <c r="Q135" s="429"/>
      <c r="R135" s="429"/>
    </row>
    <row r="136" spans="1:18" ht="24">
      <c r="A136" s="93">
        <v>53.24</v>
      </c>
      <c r="B136" s="86" t="s">
        <v>221</v>
      </c>
      <c r="C136" s="94" t="s">
        <v>222</v>
      </c>
      <c r="D136" s="95">
        <v>8878.1299999999992</v>
      </c>
      <c r="E136" s="95">
        <v>3373.47</v>
      </c>
      <c r="F136" s="95">
        <v>469.41</v>
      </c>
      <c r="G136" s="95">
        <v>5035.25</v>
      </c>
      <c r="H136" s="96">
        <v>68353.59</v>
      </c>
      <c r="I136" s="96">
        <v>44022.96</v>
      </c>
      <c r="J136" s="96">
        <v>2831.34</v>
      </c>
      <c r="K136" s="96">
        <v>21499.29</v>
      </c>
      <c r="L136" s="357">
        <v>7.6990976703427414</v>
      </c>
      <c r="M136" s="357">
        <v>13.05</v>
      </c>
      <c r="N136" s="357">
        <v>6.0316993672908543</v>
      </c>
      <c r="O136" s="357">
        <v>4.2697562186584577</v>
      </c>
      <c r="P136" s="97"/>
      <c r="Q136" s="97"/>
      <c r="R136" s="97">
        <v>8</v>
      </c>
    </row>
    <row r="137" spans="1:18" ht="24">
      <c r="A137" s="93">
        <v>53.25</v>
      </c>
      <c r="B137" s="86" t="s">
        <v>223</v>
      </c>
      <c r="C137" s="94" t="s">
        <v>224</v>
      </c>
      <c r="D137" s="95">
        <v>10385.27</v>
      </c>
      <c r="E137" s="95">
        <v>3950.94</v>
      </c>
      <c r="F137" s="95">
        <v>610.66999999999996</v>
      </c>
      <c r="G137" s="95">
        <v>5823.66</v>
      </c>
      <c r="H137" s="96">
        <v>80299.3</v>
      </c>
      <c r="I137" s="96">
        <v>51558.77</v>
      </c>
      <c r="J137" s="96">
        <v>3850.41</v>
      </c>
      <c r="K137" s="96">
        <v>24890.12</v>
      </c>
      <c r="L137" s="357">
        <v>7.7320377804332479</v>
      </c>
      <c r="M137" s="357">
        <v>13.05</v>
      </c>
      <c r="N137" s="357">
        <v>6.3052221330669598</v>
      </c>
      <c r="O137" s="357">
        <v>4.2739651696699328</v>
      </c>
      <c r="P137" s="97"/>
      <c r="Q137" s="97"/>
      <c r="R137" s="97">
        <v>8</v>
      </c>
    </row>
    <row r="138" spans="1:18" ht="24">
      <c r="A138" s="93">
        <v>53.26</v>
      </c>
      <c r="B138" s="86" t="s">
        <v>225</v>
      </c>
      <c r="C138" s="94" t="s">
        <v>226</v>
      </c>
      <c r="D138" s="95">
        <v>7908.44</v>
      </c>
      <c r="E138" s="95">
        <v>3468.15</v>
      </c>
      <c r="F138" s="95">
        <v>481.06</v>
      </c>
      <c r="G138" s="95">
        <v>3959.23</v>
      </c>
      <c r="H138" s="96">
        <v>65426.2</v>
      </c>
      <c r="I138" s="96">
        <v>45258.48</v>
      </c>
      <c r="J138" s="96">
        <v>2971.5</v>
      </c>
      <c r="K138" s="96">
        <v>17196.22</v>
      </c>
      <c r="L138" s="357">
        <v>8.2729590159374045</v>
      </c>
      <c r="M138" s="357">
        <v>13.05</v>
      </c>
      <c r="N138" s="357">
        <v>6.1769841599800444</v>
      </c>
      <c r="O138" s="357">
        <v>4.3433243332668221</v>
      </c>
      <c r="P138" s="97"/>
      <c r="Q138" s="97"/>
      <c r="R138" s="97">
        <v>8</v>
      </c>
    </row>
    <row r="139" spans="1:18" ht="24">
      <c r="A139" s="93">
        <v>53.27</v>
      </c>
      <c r="B139" s="86" t="s">
        <v>227</v>
      </c>
      <c r="C139" s="94" t="s">
        <v>228</v>
      </c>
      <c r="D139" s="95">
        <v>9279.9599999999991</v>
      </c>
      <c r="E139" s="95">
        <v>3993.89</v>
      </c>
      <c r="F139" s="95">
        <v>592.69000000000005</v>
      </c>
      <c r="G139" s="95">
        <v>4693.38</v>
      </c>
      <c r="H139" s="96">
        <v>76066.66</v>
      </c>
      <c r="I139" s="96">
        <v>52119.25</v>
      </c>
      <c r="J139" s="96">
        <v>3703.64</v>
      </c>
      <c r="K139" s="96">
        <v>20243.77</v>
      </c>
      <c r="L139" s="357">
        <v>8.1968736934210931</v>
      </c>
      <c r="M139" s="357">
        <v>13.05</v>
      </c>
      <c r="N139" s="357">
        <v>6.2488653427592835</v>
      </c>
      <c r="O139" s="357">
        <v>4.313260379513272</v>
      </c>
      <c r="P139" s="97"/>
      <c r="Q139" s="97"/>
      <c r="R139" s="97">
        <v>8</v>
      </c>
    </row>
    <row r="140" spans="1:18" ht="24">
      <c r="A140" s="93">
        <v>53.28</v>
      </c>
      <c r="B140" s="86" t="s">
        <v>229</v>
      </c>
      <c r="C140" s="94" t="s">
        <v>230</v>
      </c>
      <c r="D140" s="95">
        <v>14843.32</v>
      </c>
      <c r="E140" s="95">
        <v>2595.2600000000002</v>
      </c>
      <c r="F140" s="95">
        <v>362.47</v>
      </c>
      <c r="G140" s="95">
        <v>11885.59</v>
      </c>
      <c r="H140" s="96">
        <v>74865.48</v>
      </c>
      <c r="I140" s="96">
        <v>33867.49</v>
      </c>
      <c r="J140" s="96">
        <v>2239.64</v>
      </c>
      <c r="K140" s="96">
        <v>38758.35</v>
      </c>
      <c r="L140" s="357">
        <v>5.043715287415484</v>
      </c>
      <c r="M140" s="357">
        <v>13.05</v>
      </c>
      <c r="N140" s="357">
        <v>6.1788285927111204</v>
      </c>
      <c r="O140" s="357">
        <v>3.2609529690995567</v>
      </c>
      <c r="P140" s="97"/>
      <c r="Q140" s="97"/>
      <c r="R140" s="97">
        <v>8</v>
      </c>
    </row>
    <row r="141" spans="1:18" ht="24">
      <c r="A141" s="93">
        <v>53.29</v>
      </c>
      <c r="B141" s="86" t="s">
        <v>231</v>
      </c>
      <c r="C141" s="94" t="s">
        <v>232</v>
      </c>
      <c r="D141" s="95">
        <v>17442.400000000001</v>
      </c>
      <c r="E141" s="95">
        <v>2997.69</v>
      </c>
      <c r="F141" s="95">
        <v>433.1</v>
      </c>
      <c r="G141" s="95">
        <v>14011.61</v>
      </c>
      <c r="H141" s="96">
        <v>87058.96</v>
      </c>
      <c r="I141" s="96">
        <v>39119.1</v>
      </c>
      <c r="J141" s="96">
        <v>2657.83</v>
      </c>
      <c r="K141" s="96">
        <v>45282.03</v>
      </c>
      <c r="L141" s="357">
        <v>4.9912259780764119</v>
      </c>
      <c r="M141" s="357">
        <v>13.05</v>
      </c>
      <c r="N141" s="357">
        <v>6.1367582544447004</v>
      </c>
      <c r="O141" s="357">
        <v>3.2317506696232621</v>
      </c>
      <c r="P141" s="97"/>
      <c r="Q141" s="97"/>
      <c r="R141" s="97">
        <v>8</v>
      </c>
    </row>
    <row r="142" spans="1:18" ht="24">
      <c r="A142" s="93">
        <v>53.3</v>
      </c>
      <c r="B142" s="86" t="s">
        <v>233</v>
      </c>
      <c r="C142" s="94" t="s">
        <v>234</v>
      </c>
      <c r="D142" s="95">
        <v>13948.79</v>
      </c>
      <c r="E142" s="95">
        <v>2632.88</v>
      </c>
      <c r="F142" s="95">
        <v>351.2</v>
      </c>
      <c r="G142" s="95">
        <v>10964.71</v>
      </c>
      <c r="H142" s="96">
        <v>71502.31</v>
      </c>
      <c r="I142" s="96">
        <v>34358.42</v>
      </c>
      <c r="J142" s="96">
        <v>2136.92</v>
      </c>
      <c r="K142" s="96">
        <v>35006.97</v>
      </c>
      <c r="L142" s="357">
        <v>5.1260582459123691</v>
      </c>
      <c r="M142" s="357">
        <v>13.05</v>
      </c>
      <c r="N142" s="357">
        <v>6.0846241457858774</v>
      </c>
      <c r="O142" s="357">
        <v>3.1926945628292955</v>
      </c>
      <c r="P142" s="97"/>
      <c r="Q142" s="97"/>
      <c r="R142" s="97">
        <v>8</v>
      </c>
    </row>
    <row r="143" spans="1:18" ht="24">
      <c r="A143" s="98">
        <v>53.31</v>
      </c>
      <c r="B143" s="99" t="s">
        <v>235</v>
      </c>
      <c r="C143" s="100" t="s">
        <v>236</v>
      </c>
      <c r="D143" s="101">
        <v>17011.96</v>
      </c>
      <c r="E143" s="101">
        <v>3361.56</v>
      </c>
      <c r="F143" s="101">
        <v>422.64</v>
      </c>
      <c r="G143" s="101">
        <v>13227.76</v>
      </c>
      <c r="H143" s="102">
        <v>88529.58</v>
      </c>
      <c r="I143" s="102">
        <v>43867.5</v>
      </c>
      <c r="J143" s="102">
        <v>2579.54</v>
      </c>
      <c r="K143" s="102">
        <v>42082.54</v>
      </c>
      <c r="L143" s="356">
        <v>5.2039612131700288</v>
      </c>
      <c r="M143" s="356">
        <v>13.05</v>
      </c>
      <c r="N143" s="356">
        <v>6.1033976907060383</v>
      </c>
      <c r="O143" s="356">
        <v>3.18138067216218</v>
      </c>
      <c r="P143" s="103"/>
      <c r="Q143" s="103"/>
      <c r="R143" s="103">
        <v>8</v>
      </c>
    </row>
    <row r="144" spans="1:18" ht="12.75">
      <c r="A144" s="428" t="s">
        <v>237</v>
      </c>
      <c r="B144" s="429"/>
      <c r="C144" s="429"/>
      <c r="D144" s="429"/>
      <c r="E144" s="429"/>
      <c r="F144" s="429"/>
      <c r="G144" s="429"/>
      <c r="H144" s="429"/>
      <c r="I144" s="429"/>
      <c r="J144" s="429"/>
      <c r="K144" s="429"/>
      <c r="L144" s="429"/>
      <c r="M144" s="429"/>
      <c r="N144" s="429"/>
      <c r="O144" s="429"/>
      <c r="P144" s="429"/>
      <c r="Q144" s="429"/>
      <c r="R144" s="429"/>
    </row>
    <row r="145" spans="1:18">
      <c r="A145" s="98">
        <v>53.32</v>
      </c>
      <c r="B145" s="99" t="s">
        <v>238</v>
      </c>
      <c r="C145" s="100" t="s">
        <v>239</v>
      </c>
      <c r="D145" s="101">
        <v>2630.16</v>
      </c>
      <c r="E145" s="101">
        <v>2497.44</v>
      </c>
      <c r="F145" s="101">
        <v>132.72</v>
      </c>
      <c r="G145" s="101"/>
      <c r="H145" s="102">
        <v>33521.599999999999</v>
      </c>
      <c r="I145" s="102">
        <v>32592.560000000001</v>
      </c>
      <c r="J145" s="102">
        <v>929.04</v>
      </c>
      <c r="K145" s="102"/>
      <c r="L145" s="356">
        <v>12.745080147215379</v>
      </c>
      <c r="M145" s="356">
        <v>13.05</v>
      </c>
      <c r="N145" s="356">
        <v>7</v>
      </c>
      <c r="O145" s="356" t="s">
        <v>135</v>
      </c>
      <c r="P145" s="103"/>
      <c r="Q145" s="103"/>
      <c r="R145" s="103">
        <v>9</v>
      </c>
    </row>
    <row r="146" spans="1:18" ht="12.75">
      <c r="A146" s="428" t="s">
        <v>240</v>
      </c>
      <c r="B146" s="429"/>
      <c r="C146" s="429"/>
      <c r="D146" s="429"/>
      <c r="E146" s="429"/>
      <c r="F146" s="429"/>
      <c r="G146" s="429"/>
      <c r="H146" s="429"/>
      <c r="I146" s="429"/>
      <c r="J146" s="429"/>
      <c r="K146" s="429"/>
      <c r="L146" s="429"/>
      <c r="M146" s="429"/>
      <c r="N146" s="429"/>
      <c r="O146" s="429"/>
      <c r="P146" s="429"/>
      <c r="Q146" s="429"/>
      <c r="R146" s="429"/>
    </row>
    <row r="147" spans="1:18">
      <c r="A147" s="98">
        <v>53.33</v>
      </c>
      <c r="B147" s="99" t="s">
        <v>241</v>
      </c>
      <c r="C147" s="100" t="s">
        <v>242</v>
      </c>
      <c r="D147" s="101">
        <v>177.48</v>
      </c>
      <c r="E147" s="101">
        <v>84.27</v>
      </c>
      <c r="F147" s="101"/>
      <c r="G147" s="101">
        <v>93.21</v>
      </c>
      <c r="H147" s="102">
        <v>1868.99</v>
      </c>
      <c r="I147" s="102">
        <v>1099.74</v>
      </c>
      <c r="J147" s="102"/>
      <c r="K147" s="102">
        <v>769.25</v>
      </c>
      <c r="L147" s="356">
        <v>10.530707685373001</v>
      </c>
      <c r="M147" s="356">
        <v>13.05</v>
      </c>
      <c r="N147" s="356" t="s">
        <v>135</v>
      </c>
      <c r="O147" s="356">
        <v>8.2528698637485256</v>
      </c>
      <c r="P147" s="103"/>
      <c r="Q147" s="103"/>
      <c r="R147" s="103">
        <v>10</v>
      </c>
    </row>
    <row r="148" spans="1:18" ht="12.75">
      <c r="A148" s="428" t="s">
        <v>243</v>
      </c>
      <c r="B148" s="429"/>
      <c r="C148" s="429"/>
      <c r="D148" s="429"/>
      <c r="E148" s="429"/>
      <c r="F148" s="429"/>
      <c r="G148" s="429"/>
      <c r="H148" s="429"/>
      <c r="I148" s="429"/>
      <c r="J148" s="429"/>
      <c r="K148" s="429"/>
      <c r="L148" s="429"/>
      <c r="M148" s="429"/>
      <c r="N148" s="429"/>
      <c r="O148" s="429"/>
      <c r="P148" s="429"/>
      <c r="Q148" s="429"/>
      <c r="R148" s="429"/>
    </row>
    <row r="149" spans="1:18" ht="24">
      <c r="A149" s="93">
        <v>53.34</v>
      </c>
      <c r="B149" s="86" t="s">
        <v>244</v>
      </c>
      <c r="C149" s="94" t="s">
        <v>245</v>
      </c>
      <c r="D149" s="95">
        <v>6933.78</v>
      </c>
      <c r="E149" s="95">
        <v>2254.4</v>
      </c>
      <c r="F149" s="95">
        <v>177.94</v>
      </c>
      <c r="G149" s="95">
        <v>4501.4399999999996</v>
      </c>
      <c r="H149" s="96">
        <v>54245.32</v>
      </c>
      <c r="I149" s="96">
        <v>29420.85</v>
      </c>
      <c r="J149" s="96">
        <v>900.88</v>
      </c>
      <c r="K149" s="96">
        <v>23923.59</v>
      </c>
      <c r="L149" s="357">
        <v>7.8233402271199841</v>
      </c>
      <c r="M149" s="357">
        <v>13.05</v>
      </c>
      <c r="N149" s="357">
        <v>5.0628301674721818</v>
      </c>
      <c r="O149" s="357">
        <v>5.3146526444870981</v>
      </c>
      <c r="P149" s="97"/>
      <c r="Q149" s="97"/>
      <c r="R149" s="97">
        <v>11</v>
      </c>
    </row>
    <row r="150" spans="1:18" ht="24">
      <c r="A150" s="93">
        <v>53.35</v>
      </c>
      <c r="B150" s="86" t="s">
        <v>246</v>
      </c>
      <c r="C150" s="94" t="s">
        <v>247</v>
      </c>
      <c r="D150" s="95">
        <v>8166.12</v>
      </c>
      <c r="E150" s="95">
        <v>2158.7399999999998</v>
      </c>
      <c r="F150" s="95">
        <v>85.59</v>
      </c>
      <c r="G150" s="95">
        <v>5921.79</v>
      </c>
      <c r="H150" s="96">
        <v>55522.64</v>
      </c>
      <c r="I150" s="96">
        <v>28172.36</v>
      </c>
      <c r="J150" s="96">
        <v>433.64</v>
      </c>
      <c r="K150" s="96">
        <v>26916.639999999999</v>
      </c>
      <c r="L150" s="357">
        <v>6.7991457387351639</v>
      </c>
      <c r="M150" s="357">
        <v>13.05</v>
      </c>
      <c r="N150" s="357">
        <v>5.0664797289402967</v>
      </c>
      <c r="O150" s="357">
        <v>4.5453553739663173</v>
      </c>
      <c r="P150" s="97"/>
      <c r="Q150" s="97"/>
      <c r="R150" s="97">
        <v>11</v>
      </c>
    </row>
    <row r="151" spans="1:18" ht="24">
      <c r="A151" s="93">
        <v>53.36</v>
      </c>
      <c r="B151" s="86" t="s">
        <v>248</v>
      </c>
      <c r="C151" s="94" t="s">
        <v>249</v>
      </c>
      <c r="D151" s="95">
        <v>6711.32</v>
      </c>
      <c r="E151" s="95">
        <v>1806.31</v>
      </c>
      <c r="F151" s="95">
        <v>65.37</v>
      </c>
      <c r="G151" s="95">
        <v>4839.6400000000003</v>
      </c>
      <c r="H151" s="96">
        <v>46510.76</v>
      </c>
      <c r="I151" s="96">
        <v>23573.040000000001</v>
      </c>
      <c r="J151" s="96">
        <v>331.04</v>
      </c>
      <c r="K151" s="96">
        <v>22606.68</v>
      </c>
      <c r="L151" s="357">
        <v>6.9301955502047292</v>
      </c>
      <c r="M151" s="357">
        <v>13.05</v>
      </c>
      <c r="N151" s="357">
        <v>5.0640966804344503</v>
      </c>
      <c r="O151" s="357">
        <v>4.6711490937342441</v>
      </c>
      <c r="P151" s="97"/>
      <c r="Q151" s="97"/>
      <c r="R151" s="97">
        <v>11</v>
      </c>
    </row>
    <row r="152" spans="1:18">
      <c r="A152" s="98">
        <v>53.37</v>
      </c>
      <c r="B152" s="99" t="s">
        <v>250</v>
      </c>
      <c r="C152" s="100" t="s">
        <v>251</v>
      </c>
      <c r="D152" s="101">
        <v>5025.8599999999997</v>
      </c>
      <c r="E152" s="101">
        <v>2132.19</v>
      </c>
      <c r="F152" s="101">
        <v>123.78</v>
      </c>
      <c r="G152" s="101">
        <v>2769.89</v>
      </c>
      <c r="H152" s="102">
        <v>39993.99</v>
      </c>
      <c r="I152" s="102">
        <v>27825.25</v>
      </c>
      <c r="J152" s="102">
        <v>626.16999999999996</v>
      </c>
      <c r="K152" s="102">
        <v>11542.57</v>
      </c>
      <c r="L152" s="356">
        <v>7.9576410803325199</v>
      </c>
      <c r="M152" s="356">
        <v>13.05</v>
      </c>
      <c r="N152" s="356">
        <v>5.0587332363871385</v>
      </c>
      <c r="O152" s="356">
        <v>4.1671582626024861</v>
      </c>
      <c r="P152" s="103"/>
      <c r="Q152" s="103"/>
      <c r="R152" s="103">
        <v>11</v>
      </c>
    </row>
    <row r="153" spans="1:18" ht="12.75">
      <c r="A153" s="428" t="s">
        <v>252</v>
      </c>
      <c r="B153" s="429"/>
      <c r="C153" s="429"/>
      <c r="D153" s="429"/>
      <c r="E153" s="429"/>
      <c r="F153" s="429"/>
      <c r="G153" s="429"/>
      <c r="H153" s="429"/>
      <c r="I153" s="429"/>
      <c r="J153" s="429"/>
      <c r="K153" s="429"/>
      <c r="L153" s="429"/>
      <c r="M153" s="429"/>
      <c r="N153" s="429"/>
      <c r="O153" s="429"/>
      <c r="P153" s="429"/>
      <c r="Q153" s="429"/>
      <c r="R153" s="429"/>
    </row>
    <row r="154" spans="1:18" ht="24">
      <c r="A154" s="98">
        <v>53.38</v>
      </c>
      <c r="B154" s="99" t="s">
        <v>253</v>
      </c>
      <c r="C154" s="100" t="s">
        <v>254</v>
      </c>
      <c r="D154" s="101">
        <v>82.79</v>
      </c>
      <c r="E154" s="101">
        <v>11.25</v>
      </c>
      <c r="F154" s="101">
        <v>1.05</v>
      </c>
      <c r="G154" s="101">
        <v>70.489999999999995</v>
      </c>
      <c r="H154" s="102">
        <v>535.16</v>
      </c>
      <c r="I154" s="102">
        <v>146.80000000000001</v>
      </c>
      <c r="J154" s="102">
        <v>5.31</v>
      </c>
      <c r="K154" s="102">
        <v>383.05</v>
      </c>
      <c r="L154" s="356">
        <v>6.4640657084188904</v>
      </c>
      <c r="M154" s="356">
        <v>13.05</v>
      </c>
      <c r="N154" s="356">
        <v>5.0571428571428569</v>
      </c>
      <c r="O154" s="356">
        <v>5.4341041282451421</v>
      </c>
      <c r="P154" s="103"/>
      <c r="Q154" s="103"/>
      <c r="R154" s="103">
        <v>12</v>
      </c>
    </row>
    <row r="155" spans="1:18" ht="12.75">
      <c r="A155" s="428" t="s">
        <v>255</v>
      </c>
      <c r="B155" s="429"/>
      <c r="C155" s="429"/>
      <c r="D155" s="429"/>
      <c r="E155" s="429"/>
      <c r="F155" s="429"/>
      <c r="G155" s="429"/>
      <c r="H155" s="429"/>
      <c r="I155" s="429"/>
      <c r="J155" s="429"/>
      <c r="K155" s="429"/>
      <c r="L155" s="429"/>
      <c r="M155" s="429"/>
      <c r="N155" s="429"/>
      <c r="O155" s="429"/>
      <c r="P155" s="429"/>
      <c r="Q155" s="429"/>
      <c r="R155" s="429"/>
    </row>
    <row r="156" spans="1:18" ht="24">
      <c r="A156" s="93">
        <v>53.39</v>
      </c>
      <c r="B156" s="86" t="s">
        <v>256</v>
      </c>
      <c r="C156" s="94" t="s">
        <v>257</v>
      </c>
      <c r="D156" s="95">
        <v>40.67</v>
      </c>
      <c r="E156" s="95">
        <v>29.02</v>
      </c>
      <c r="F156" s="95"/>
      <c r="G156" s="95">
        <v>11.65</v>
      </c>
      <c r="H156" s="96">
        <v>455.07</v>
      </c>
      <c r="I156" s="96">
        <v>378.78</v>
      </c>
      <c r="J156" s="96"/>
      <c r="K156" s="96">
        <v>76.290000000000006</v>
      </c>
      <c r="L156" s="357">
        <v>11.189328743545611</v>
      </c>
      <c r="M156" s="357">
        <v>13.05</v>
      </c>
      <c r="N156" s="357" t="s">
        <v>135</v>
      </c>
      <c r="O156" s="357">
        <v>6.5484978540772536</v>
      </c>
      <c r="P156" s="97"/>
      <c r="Q156" s="97"/>
      <c r="R156" s="97">
        <v>13</v>
      </c>
    </row>
    <row r="157" spans="1:18">
      <c r="A157" s="98">
        <v>53.4</v>
      </c>
      <c r="B157" s="99" t="s">
        <v>258</v>
      </c>
      <c r="C157" s="100" t="s">
        <v>259</v>
      </c>
      <c r="D157" s="101">
        <v>2196.3200000000002</v>
      </c>
      <c r="E157" s="101">
        <v>1270.33</v>
      </c>
      <c r="F157" s="101">
        <v>47.61</v>
      </c>
      <c r="G157" s="101">
        <v>878.38</v>
      </c>
      <c r="H157" s="102">
        <v>21773.61</v>
      </c>
      <c r="I157" s="102">
        <v>16577.93</v>
      </c>
      <c r="J157" s="102">
        <v>433.68</v>
      </c>
      <c r="K157" s="102">
        <v>4762</v>
      </c>
      <c r="L157" s="356">
        <v>9.9136783346688997</v>
      </c>
      <c r="M157" s="356">
        <v>13.05</v>
      </c>
      <c r="N157" s="356">
        <v>9.1090107120352872</v>
      </c>
      <c r="O157" s="356">
        <v>5.4213438375190695</v>
      </c>
      <c r="P157" s="103"/>
      <c r="Q157" s="103"/>
      <c r="R157" s="103">
        <v>13</v>
      </c>
    </row>
    <row r="158" spans="1:18" ht="12.75">
      <c r="A158" s="428" t="s">
        <v>260</v>
      </c>
      <c r="B158" s="429"/>
      <c r="C158" s="429"/>
      <c r="D158" s="429"/>
      <c r="E158" s="429"/>
      <c r="F158" s="429"/>
      <c r="G158" s="429"/>
      <c r="H158" s="429"/>
      <c r="I158" s="429"/>
      <c r="J158" s="429"/>
      <c r="K158" s="429"/>
      <c r="L158" s="429"/>
      <c r="M158" s="429"/>
      <c r="N158" s="429"/>
      <c r="O158" s="429"/>
      <c r="P158" s="429"/>
      <c r="Q158" s="429"/>
      <c r="R158" s="429"/>
    </row>
    <row r="159" spans="1:18" ht="36">
      <c r="A159" s="93">
        <v>53.41</v>
      </c>
      <c r="B159" s="86" t="s">
        <v>261</v>
      </c>
      <c r="C159" s="94" t="s">
        <v>262</v>
      </c>
      <c r="D159" s="95">
        <v>15818.67</v>
      </c>
      <c r="E159" s="95">
        <v>3948.66</v>
      </c>
      <c r="F159" s="95">
        <v>125.28</v>
      </c>
      <c r="G159" s="95">
        <v>11744.73</v>
      </c>
      <c r="H159" s="96">
        <v>116161.32</v>
      </c>
      <c r="I159" s="96">
        <v>51531.46</v>
      </c>
      <c r="J159" s="96">
        <v>1141.26</v>
      </c>
      <c r="K159" s="96">
        <v>63488.6</v>
      </c>
      <c r="L159" s="357">
        <v>7.3433050945496685</v>
      </c>
      <c r="M159" s="357">
        <v>13.05</v>
      </c>
      <c r="N159" s="357">
        <v>9.1096743295019156</v>
      </c>
      <c r="O159" s="357">
        <v>5.4057096246571872</v>
      </c>
      <c r="P159" s="97"/>
      <c r="Q159" s="97"/>
      <c r="R159" s="97">
        <v>14</v>
      </c>
    </row>
    <row r="160" spans="1:18" ht="36">
      <c r="A160" s="93">
        <v>53.42</v>
      </c>
      <c r="B160" s="86" t="s">
        <v>263</v>
      </c>
      <c r="C160" s="94" t="s">
        <v>264</v>
      </c>
      <c r="D160" s="95">
        <v>15459.71</v>
      </c>
      <c r="E160" s="95">
        <v>3589.7</v>
      </c>
      <c r="F160" s="95">
        <v>125.28</v>
      </c>
      <c r="G160" s="95">
        <v>11744.73</v>
      </c>
      <c r="H160" s="96">
        <v>111476.65</v>
      </c>
      <c r="I160" s="96">
        <v>46846.79</v>
      </c>
      <c r="J160" s="96">
        <v>1141.26</v>
      </c>
      <c r="K160" s="96">
        <v>63488.6</v>
      </c>
      <c r="L160" s="357">
        <v>7.2107853252098524</v>
      </c>
      <c r="M160" s="357">
        <v>13.05</v>
      </c>
      <c r="N160" s="357">
        <v>9.1096743295019156</v>
      </c>
      <c r="O160" s="357">
        <v>5.4057096246571872</v>
      </c>
      <c r="P160" s="97"/>
      <c r="Q160" s="97"/>
      <c r="R160" s="97">
        <v>14</v>
      </c>
    </row>
    <row r="161" spans="1:18" ht="36">
      <c r="A161" s="93">
        <v>53.43</v>
      </c>
      <c r="B161" s="86" t="s">
        <v>265</v>
      </c>
      <c r="C161" s="94" t="s">
        <v>266</v>
      </c>
      <c r="D161" s="95">
        <v>30104.93</v>
      </c>
      <c r="E161" s="95">
        <v>5923.34</v>
      </c>
      <c r="F161" s="95">
        <v>250.56</v>
      </c>
      <c r="G161" s="95">
        <v>23931.03</v>
      </c>
      <c r="H161" s="96">
        <v>209356.2</v>
      </c>
      <c r="I161" s="96">
        <v>77300.850000000006</v>
      </c>
      <c r="J161" s="96">
        <v>2282.52</v>
      </c>
      <c r="K161" s="96">
        <v>129772.83</v>
      </c>
      <c r="L161" s="357">
        <v>6.95421646886407</v>
      </c>
      <c r="M161" s="357">
        <v>13.05</v>
      </c>
      <c r="N161" s="357">
        <v>9.1096743295019156</v>
      </c>
      <c r="O161" s="357">
        <v>5.4227849783314808</v>
      </c>
      <c r="P161" s="97"/>
      <c r="Q161" s="97"/>
      <c r="R161" s="97">
        <v>14</v>
      </c>
    </row>
    <row r="162" spans="1:18" ht="36">
      <c r="A162" s="93">
        <v>53.44</v>
      </c>
      <c r="B162" s="86" t="s">
        <v>267</v>
      </c>
      <c r="C162" s="94" t="s">
        <v>268</v>
      </c>
      <c r="D162" s="95">
        <v>29567.16</v>
      </c>
      <c r="E162" s="95">
        <v>5385.57</v>
      </c>
      <c r="F162" s="95">
        <v>250.56</v>
      </c>
      <c r="G162" s="95">
        <v>23931.03</v>
      </c>
      <c r="H162" s="96">
        <v>202338.12</v>
      </c>
      <c r="I162" s="96">
        <v>70282.77</v>
      </c>
      <c r="J162" s="96">
        <v>2282.52</v>
      </c>
      <c r="K162" s="96">
        <v>129772.83</v>
      </c>
      <c r="L162" s="357">
        <v>6.843339705267601</v>
      </c>
      <c r="M162" s="357">
        <v>13.05</v>
      </c>
      <c r="N162" s="357">
        <v>9.1096743295019156</v>
      </c>
      <c r="O162" s="357">
        <v>5.4227849783314808</v>
      </c>
      <c r="P162" s="97"/>
      <c r="Q162" s="97"/>
      <c r="R162" s="97">
        <v>14</v>
      </c>
    </row>
    <row r="163" spans="1:18" ht="36">
      <c r="A163" s="93">
        <v>53.45</v>
      </c>
      <c r="B163" s="86" t="s">
        <v>269</v>
      </c>
      <c r="C163" s="94" t="s">
        <v>270</v>
      </c>
      <c r="D163" s="95">
        <v>4244.3100000000004</v>
      </c>
      <c r="E163" s="95">
        <v>3962.07</v>
      </c>
      <c r="F163" s="95">
        <v>282.24</v>
      </c>
      <c r="G163" s="95"/>
      <c r="H163" s="96">
        <v>53412.81</v>
      </c>
      <c r="I163" s="96">
        <v>51706.41</v>
      </c>
      <c r="J163" s="96">
        <v>1706.4</v>
      </c>
      <c r="K163" s="96"/>
      <c r="L163" s="357">
        <v>12.584568516437299</v>
      </c>
      <c r="M163" s="357">
        <v>13.05</v>
      </c>
      <c r="N163" s="357">
        <v>6.045918367346939</v>
      </c>
      <c r="O163" s="357" t="s">
        <v>135</v>
      </c>
      <c r="P163" s="97"/>
      <c r="Q163" s="97"/>
      <c r="R163" s="97">
        <v>14</v>
      </c>
    </row>
    <row r="164" spans="1:18" ht="36">
      <c r="A164" s="93">
        <v>53.46</v>
      </c>
      <c r="B164" s="86" t="s">
        <v>271</v>
      </c>
      <c r="C164" s="94" t="s">
        <v>272</v>
      </c>
      <c r="D164" s="95">
        <v>16184.77</v>
      </c>
      <c r="E164" s="95">
        <v>3948.66</v>
      </c>
      <c r="F164" s="95">
        <v>491.38</v>
      </c>
      <c r="G164" s="95">
        <v>11744.73</v>
      </c>
      <c r="H164" s="96">
        <v>118940.32</v>
      </c>
      <c r="I164" s="96">
        <v>51531.46</v>
      </c>
      <c r="J164" s="96">
        <v>3920.26</v>
      </c>
      <c r="K164" s="96">
        <v>63488.6</v>
      </c>
      <c r="L164" s="357">
        <v>7.3489039387028674</v>
      </c>
      <c r="M164" s="357">
        <v>13.05</v>
      </c>
      <c r="N164" s="357">
        <v>7.9780617851764424</v>
      </c>
      <c r="O164" s="357">
        <v>5.4057096246571872</v>
      </c>
      <c r="P164" s="97"/>
      <c r="Q164" s="97"/>
      <c r="R164" s="97">
        <v>14</v>
      </c>
    </row>
    <row r="165" spans="1:18" ht="36">
      <c r="A165" s="93">
        <v>53.47</v>
      </c>
      <c r="B165" s="86" t="s">
        <v>273</v>
      </c>
      <c r="C165" s="94" t="s">
        <v>274</v>
      </c>
      <c r="D165" s="95">
        <v>15825.81</v>
      </c>
      <c r="E165" s="95">
        <v>3589.7</v>
      </c>
      <c r="F165" s="95">
        <v>491.38</v>
      </c>
      <c r="G165" s="95">
        <v>11744.73</v>
      </c>
      <c r="H165" s="96">
        <v>114255.65</v>
      </c>
      <c r="I165" s="96">
        <v>46846.79</v>
      </c>
      <c r="J165" s="96">
        <v>3920.26</v>
      </c>
      <c r="K165" s="96">
        <v>63488.6</v>
      </c>
      <c r="L165" s="357">
        <v>7.2195767546811185</v>
      </c>
      <c r="M165" s="357">
        <v>13.05</v>
      </c>
      <c r="N165" s="357">
        <v>7.9780617851764424</v>
      </c>
      <c r="O165" s="357">
        <v>5.4057096246571872</v>
      </c>
      <c r="P165" s="97"/>
      <c r="Q165" s="97"/>
      <c r="R165" s="97">
        <v>14</v>
      </c>
    </row>
    <row r="166" spans="1:18" ht="36">
      <c r="A166" s="93">
        <v>53.48</v>
      </c>
      <c r="B166" s="86" t="s">
        <v>275</v>
      </c>
      <c r="C166" s="94" t="s">
        <v>276</v>
      </c>
      <c r="D166" s="95">
        <v>30837.13</v>
      </c>
      <c r="E166" s="95">
        <v>5923.34</v>
      </c>
      <c r="F166" s="95">
        <v>982.76</v>
      </c>
      <c r="G166" s="95">
        <v>23931.03</v>
      </c>
      <c r="H166" s="96">
        <v>214914.2</v>
      </c>
      <c r="I166" s="96">
        <v>77300.850000000006</v>
      </c>
      <c r="J166" s="96">
        <v>7840.52</v>
      </c>
      <c r="K166" s="96">
        <v>129772.83</v>
      </c>
      <c r="L166" s="357">
        <v>6.9693321006202593</v>
      </c>
      <c r="M166" s="357">
        <v>13.05</v>
      </c>
      <c r="N166" s="357">
        <v>7.9780617851764424</v>
      </c>
      <c r="O166" s="357">
        <v>5.4227849783314808</v>
      </c>
      <c r="P166" s="97"/>
      <c r="Q166" s="97"/>
      <c r="R166" s="97">
        <v>14</v>
      </c>
    </row>
    <row r="167" spans="1:18" ht="36">
      <c r="A167" s="93">
        <v>53.49</v>
      </c>
      <c r="B167" s="86" t="s">
        <v>277</v>
      </c>
      <c r="C167" s="94" t="s">
        <v>278</v>
      </c>
      <c r="D167" s="95">
        <v>30299.360000000001</v>
      </c>
      <c r="E167" s="95">
        <v>5385.57</v>
      </c>
      <c r="F167" s="95">
        <v>982.76</v>
      </c>
      <c r="G167" s="95">
        <v>23931.03</v>
      </c>
      <c r="H167" s="96">
        <v>207896.12</v>
      </c>
      <c r="I167" s="96">
        <v>70282.77</v>
      </c>
      <c r="J167" s="96">
        <v>7840.52</v>
      </c>
      <c r="K167" s="96">
        <v>129772.83</v>
      </c>
      <c r="L167" s="357">
        <v>6.86140301313295</v>
      </c>
      <c r="M167" s="357">
        <v>13.05</v>
      </c>
      <c r="N167" s="357">
        <v>7.9780617851764424</v>
      </c>
      <c r="O167" s="357">
        <v>5.4227849783314808</v>
      </c>
      <c r="P167" s="97"/>
      <c r="Q167" s="97"/>
      <c r="R167" s="97">
        <v>14</v>
      </c>
    </row>
    <row r="168" spans="1:18" ht="24">
      <c r="A168" s="98">
        <v>53.5</v>
      </c>
      <c r="B168" s="99" t="s">
        <v>279</v>
      </c>
      <c r="C168" s="100" t="s">
        <v>280</v>
      </c>
      <c r="D168" s="101">
        <v>4244.3100000000004</v>
      </c>
      <c r="E168" s="101">
        <v>3962.07</v>
      </c>
      <c r="F168" s="101">
        <v>282.24</v>
      </c>
      <c r="G168" s="101"/>
      <c r="H168" s="102">
        <v>53412.81</v>
      </c>
      <c r="I168" s="102">
        <v>51706.41</v>
      </c>
      <c r="J168" s="102">
        <v>1706.4</v>
      </c>
      <c r="K168" s="102"/>
      <c r="L168" s="356">
        <v>12.584568516437299</v>
      </c>
      <c r="M168" s="356">
        <v>13.05</v>
      </c>
      <c r="N168" s="356">
        <v>6.045918367346939</v>
      </c>
      <c r="O168" s="356" t="s">
        <v>135</v>
      </c>
      <c r="P168" s="103"/>
      <c r="Q168" s="103"/>
      <c r="R168" s="103">
        <v>14</v>
      </c>
    </row>
    <row r="169" spans="1:18" ht="12.75">
      <c r="A169" s="428" t="s">
        <v>281</v>
      </c>
      <c r="B169" s="429"/>
      <c r="C169" s="429"/>
      <c r="D169" s="429"/>
      <c r="E169" s="429"/>
      <c r="F169" s="429"/>
      <c r="G169" s="429"/>
      <c r="H169" s="429"/>
      <c r="I169" s="429"/>
      <c r="J169" s="429"/>
      <c r="K169" s="429"/>
      <c r="L169" s="429"/>
      <c r="M169" s="429"/>
      <c r="N169" s="429"/>
      <c r="O169" s="429"/>
      <c r="P169" s="429"/>
      <c r="Q169" s="429"/>
      <c r="R169" s="429"/>
    </row>
    <row r="170" spans="1:18" ht="24">
      <c r="A170" s="93">
        <v>53.51</v>
      </c>
      <c r="B170" s="86" t="s">
        <v>282</v>
      </c>
      <c r="C170" s="94" t="s">
        <v>283</v>
      </c>
      <c r="D170" s="95">
        <v>1319.67</v>
      </c>
      <c r="E170" s="95">
        <v>339.04</v>
      </c>
      <c r="F170" s="95">
        <v>33.479999999999997</v>
      </c>
      <c r="G170" s="95">
        <v>947.15</v>
      </c>
      <c r="H170" s="96">
        <v>9863.33</v>
      </c>
      <c r="I170" s="96">
        <v>4424.46</v>
      </c>
      <c r="J170" s="96">
        <v>292.17</v>
      </c>
      <c r="K170" s="96">
        <v>5146.7</v>
      </c>
      <c r="L170" s="357">
        <v>7.4740882190244529</v>
      </c>
      <c r="M170" s="357">
        <v>13.05</v>
      </c>
      <c r="N170" s="357">
        <v>8.7267025089605745</v>
      </c>
      <c r="O170" s="357">
        <v>5.4338805891358284</v>
      </c>
      <c r="P170" s="97"/>
      <c r="Q170" s="97"/>
      <c r="R170" s="97">
        <v>15</v>
      </c>
    </row>
    <row r="171" spans="1:18" ht="24">
      <c r="A171" s="98">
        <v>53.52</v>
      </c>
      <c r="B171" s="99" t="s">
        <v>284</v>
      </c>
      <c r="C171" s="100" t="s">
        <v>285</v>
      </c>
      <c r="D171" s="101">
        <v>789.35</v>
      </c>
      <c r="E171" s="101">
        <v>284.79000000000002</v>
      </c>
      <c r="F171" s="101">
        <v>62.83</v>
      </c>
      <c r="G171" s="101">
        <v>441.73</v>
      </c>
      <c r="H171" s="102">
        <v>5882.85</v>
      </c>
      <c r="I171" s="102">
        <v>3716.64</v>
      </c>
      <c r="J171" s="102">
        <v>547.33000000000004</v>
      </c>
      <c r="K171" s="102">
        <v>1618.88</v>
      </c>
      <c r="L171" s="356">
        <v>7.4527776018242857</v>
      </c>
      <c r="M171" s="356">
        <v>13.05</v>
      </c>
      <c r="N171" s="356">
        <v>8.7112844182715268</v>
      </c>
      <c r="O171" s="356">
        <v>3.6648631516990018</v>
      </c>
      <c r="P171" s="103"/>
      <c r="Q171" s="103"/>
      <c r="R171" s="103">
        <v>15</v>
      </c>
    </row>
    <row r="172" spans="1:18" ht="12.75">
      <c r="A172" s="428" t="s">
        <v>286</v>
      </c>
      <c r="B172" s="429"/>
      <c r="C172" s="429"/>
      <c r="D172" s="429"/>
      <c r="E172" s="429"/>
      <c r="F172" s="429"/>
      <c r="G172" s="429"/>
      <c r="H172" s="429"/>
      <c r="I172" s="429"/>
      <c r="J172" s="429"/>
      <c r="K172" s="429"/>
      <c r="L172" s="429"/>
      <c r="M172" s="429"/>
      <c r="N172" s="429"/>
      <c r="O172" s="429"/>
      <c r="P172" s="429"/>
      <c r="Q172" s="429"/>
      <c r="R172" s="429"/>
    </row>
    <row r="173" spans="1:18" ht="24">
      <c r="A173" s="93">
        <v>53.53</v>
      </c>
      <c r="B173" s="86" t="s">
        <v>287</v>
      </c>
      <c r="C173" s="94" t="s">
        <v>288</v>
      </c>
      <c r="D173" s="95">
        <v>1113.29</v>
      </c>
      <c r="E173" s="95">
        <v>141.66999999999999</v>
      </c>
      <c r="F173" s="95">
        <v>8.42</v>
      </c>
      <c r="G173" s="95">
        <v>963.2</v>
      </c>
      <c r="H173" s="96">
        <v>6722.54</v>
      </c>
      <c r="I173" s="96">
        <v>1848.76</v>
      </c>
      <c r="J173" s="96">
        <v>63.92</v>
      </c>
      <c r="K173" s="96">
        <v>4809.8599999999997</v>
      </c>
      <c r="L173" s="357">
        <v>6.0384446101195559</v>
      </c>
      <c r="M173" s="357">
        <v>13.05</v>
      </c>
      <c r="N173" s="357">
        <v>7.59144893111639</v>
      </c>
      <c r="O173" s="357">
        <v>4.9936254152823913</v>
      </c>
      <c r="P173" s="97"/>
      <c r="Q173" s="97"/>
      <c r="R173" s="97">
        <v>16</v>
      </c>
    </row>
    <row r="174" spans="1:18">
      <c r="A174" s="98">
        <v>53.54</v>
      </c>
      <c r="B174" s="99" t="s">
        <v>289</v>
      </c>
      <c r="C174" s="100" t="s">
        <v>290</v>
      </c>
      <c r="D174" s="101">
        <v>781.07</v>
      </c>
      <c r="E174" s="101">
        <v>174.38</v>
      </c>
      <c r="F174" s="101">
        <v>13.55</v>
      </c>
      <c r="G174" s="101">
        <v>593.14</v>
      </c>
      <c r="H174" s="102">
        <v>5467.13</v>
      </c>
      <c r="I174" s="102">
        <v>2275.75</v>
      </c>
      <c r="J174" s="102">
        <v>102.82</v>
      </c>
      <c r="K174" s="102">
        <v>3088.56</v>
      </c>
      <c r="L174" s="356">
        <v>6.9995390938072131</v>
      </c>
      <c r="M174" s="356">
        <v>13.05</v>
      </c>
      <c r="N174" s="356">
        <v>7.5881918819188181</v>
      </c>
      <c r="O174" s="356">
        <v>5.2071349091276931</v>
      </c>
      <c r="P174" s="103"/>
      <c r="Q174" s="103"/>
      <c r="R174" s="103">
        <v>16</v>
      </c>
    </row>
    <row r="175" spans="1:18" ht="12.75">
      <c r="A175" s="428" t="s">
        <v>291</v>
      </c>
      <c r="B175" s="429"/>
      <c r="C175" s="429"/>
      <c r="D175" s="429"/>
      <c r="E175" s="429"/>
      <c r="F175" s="429"/>
      <c r="G175" s="429"/>
      <c r="H175" s="429"/>
      <c r="I175" s="429"/>
      <c r="J175" s="429"/>
      <c r="K175" s="429"/>
      <c r="L175" s="429"/>
      <c r="M175" s="429"/>
      <c r="N175" s="429"/>
      <c r="O175" s="429"/>
      <c r="P175" s="429"/>
      <c r="Q175" s="429"/>
      <c r="R175" s="429"/>
    </row>
    <row r="176" spans="1:18">
      <c r="A176" s="93">
        <v>53.55</v>
      </c>
      <c r="B176" s="86" t="s">
        <v>292</v>
      </c>
      <c r="C176" s="94" t="s">
        <v>293</v>
      </c>
      <c r="D176" s="95">
        <v>1922.32</v>
      </c>
      <c r="E176" s="95">
        <v>451.1</v>
      </c>
      <c r="F176" s="95">
        <v>353.47</v>
      </c>
      <c r="G176" s="95">
        <v>1117.75</v>
      </c>
      <c r="H176" s="96">
        <v>14589.89</v>
      </c>
      <c r="I176" s="96">
        <v>5886.64</v>
      </c>
      <c r="J176" s="96">
        <v>2793.79</v>
      </c>
      <c r="K176" s="96">
        <v>5909.46</v>
      </c>
      <c r="L176" s="357">
        <v>7.5897301177743559</v>
      </c>
      <c r="M176" s="357">
        <v>13.05</v>
      </c>
      <c r="N176" s="357">
        <v>7.9038956629982735</v>
      </c>
      <c r="O176" s="357">
        <v>5.2869246253634534</v>
      </c>
      <c r="P176" s="97"/>
      <c r="Q176" s="97"/>
      <c r="R176" s="97">
        <v>17</v>
      </c>
    </row>
    <row r="177" spans="1:18" ht="24">
      <c r="A177" s="98">
        <v>53.56</v>
      </c>
      <c r="B177" s="99" t="s">
        <v>294</v>
      </c>
      <c r="C177" s="100" t="s">
        <v>295</v>
      </c>
      <c r="D177" s="101">
        <v>2161.81</v>
      </c>
      <c r="E177" s="101">
        <v>640.89</v>
      </c>
      <c r="F177" s="101">
        <v>616.16</v>
      </c>
      <c r="G177" s="101">
        <v>904.76</v>
      </c>
      <c r="H177" s="102">
        <v>18641.439999999999</v>
      </c>
      <c r="I177" s="102">
        <v>8363.84</v>
      </c>
      <c r="J177" s="102">
        <v>4873.08</v>
      </c>
      <c r="K177" s="102">
        <v>5404.52</v>
      </c>
      <c r="L177" s="356">
        <v>8.6230704826048541</v>
      </c>
      <c r="M177" s="356">
        <v>13.05</v>
      </c>
      <c r="N177" s="356">
        <v>7.9087899246948847</v>
      </c>
      <c r="O177" s="356">
        <v>5.9734294177461429</v>
      </c>
      <c r="P177" s="103"/>
      <c r="Q177" s="103"/>
      <c r="R177" s="103">
        <v>17</v>
      </c>
    </row>
    <row r="178" spans="1:18" ht="12.75">
      <c r="A178" s="428" t="s">
        <v>296</v>
      </c>
      <c r="B178" s="429"/>
      <c r="C178" s="429"/>
      <c r="D178" s="429"/>
      <c r="E178" s="429"/>
      <c r="F178" s="429"/>
      <c r="G178" s="429"/>
      <c r="H178" s="429"/>
      <c r="I178" s="429"/>
      <c r="J178" s="429"/>
      <c r="K178" s="429"/>
      <c r="L178" s="429"/>
      <c r="M178" s="429"/>
      <c r="N178" s="429"/>
      <c r="O178" s="429"/>
      <c r="P178" s="429"/>
      <c r="Q178" s="429"/>
      <c r="R178" s="429"/>
    </row>
    <row r="179" spans="1:18" ht="24">
      <c r="A179" s="93">
        <v>53.57</v>
      </c>
      <c r="B179" s="86" t="s">
        <v>297</v>
      </c>
      <c r="C179" s="94" t="s">
        <v>298</v>
      </c>
      <c r="D179" s="95">
        <v>261.45999999999998</v>
      </c>
      <c r="E179" s="95">
        <v>49.01</v>
      </c>
      <c r="F179" s="95">
        <v>12.53</v>
      </c>
      <c r="G179" s="95">
        <v>199.92</v>
      </c>
      <c r="H179" s="96">
        <v>1737.24</v>
      </c>
      <c r="I179" s="96">
        <v>639.63</v>
      </c>
      <c r="J179" s="96">
        <v>114.13</v>
      </c>
      <c r="K179" s="96">
        <v>983.48</v>
      </c>
      <c r="L179" s="357">
        <v>6.6443815497590455</v>
      </c>
      <c r="M179" s="357">
        <v>13.05</v>
      </c>
      <c r="N179" s="357">
        <v>9.1085395051875508</v>
      </c>
      <c r="O179" s="357">
        <v>4.9193677470988399</v>
      </c>
      <c r="P179" s="97"/>
      <c r="Q179" s="97"/>
      <c r="R179" s="97">
        <v>18</v>
      </c>
    </row>
    <row r="180" spans="1:18" ht="24">
      <c r="A180" s="98">
        <v>53.58</v>
      </c>
      <c r="B180" s="99" t="s">
        <v>299</v>
      </c>
      <c r="C180" s="100" t="s">
        <v>300</v>
      </c>
      <c r="D180" s="101">
        <v>240.09</v>
      </c>
      <c r="E180" s="101">
        <v>35.770000000000003</v>
      </c>
      <c r="F180" s="101">
        <v>12.53</v>
      </c>
      <c r="G180" s="101">
        <v>191.79</v>
      </c>
      <c r="H180" s="102">
        <v>1511.15</v>
      </c>
      <c r="I180" s="102">
        <v>466.76</v>
      </c>
      <c r="J180" s="102">
        <v>114.13</v>
      </c>
      <c r="K180" s="102">
        <v>930.26</v>
      </c>
      <c r="L180" s="356">
        <v>6.2940980465658711</v>
      </c>
      <c r="M180" s="356">
        <v>13.05</v>
      </c>
      <c r="N180" s="356">
        <v>9.1085395051875508</v>
      </c>
      <c r="O180" s="356">
        <v>4.8504093018405552</v>
      </c>
      <c r="P180" s="103"/>
      <c r="Q180" s="103"/>
      <c r="R180" s="103">
        <v>18</v>
      </c>
    </row>
    <row r="181" spans="1:18" ht="12.75">
      <c r="A181" s="428" t="s">
        <v>301</v>
      </c>
      <c r="B181" s="429"/>
      <c r="C181" s="429"/>
      <c r="D181" s="429"/>
      <c r="E181" s="429"/>
      <c r="F181" s="429"/>
      <c r="G181" s="429"/>
      <c r="H181" s="429"/>
      <c r="I181" s="429"/>
      <c r="J181" s="429"/>
      <c r="K181" s="429"/>
      <c r="L181" s="429"/>
      <c r="M181" s="429"/>
      <c r="N181" s="429"/>
      <c r="O181" s="429"/>
      <c r="P181" s="429"/>
      <c r="Q181" s="429"/>
      <c r="R181" s="429"/>
    </row>
    <row r="182" spans="1:18" ht="24">
      <c r="A182" s="93">
        <v>53.59</v>
      </c>
      <c r="B182" s="86" t="s">
        <v>302</v>
      </c>
      <c r="C182" s="94" t="s">
        <v>303</v>
      </c>
      <c r="D182" s="95">
        <v>101508.96</v>
      </c>
      <c r="E182" s="95">
        <v>5641.26</v>
      </c>
      <c r="F182" s="95">
        <v>3898.44</v>
      </c>
      <c r="G182" s="95">
        <v>91969.26</v>
      </c>
      <c r="H182" s="96">
        <v>610974.86</v>
      </c>
      <c r="I182" s="96">
        <v>73617.88</v>
      </c>
      <c r="J182" s="96">
        <v>37858.86</v>
      </c>
      <c r="K182" s="96">
        <v>499498.12</v>
      </c>
      <c r="L182" s="357">
        <v>6.0189254229380333</v>
      </c>
      <c r="M182" s="357">
        <v>13.05</v>
      </c>
      <c r="N182" s="357">
        <v>9.7112845138055217</v>
      </c>
      <c r="O182" s="357">
        <v>5.43114210117598</v>
      </c>
      <c r="P182" s="97"/>
      <c r="Q182" s="97"/>
      <c r="R182" s="97">
        <v>19</v>
      </c>
    </row>
    <row r="183" spans="1:18" ht="24">
      <c r="A183" s="93">
        <v>53.6</v>
      </c>
      <c r="B183" s="86" t="s">
        <v>304</v>
      </c>
      <c r="C183" s="94" t="s">
        <v>305</v>
      </c>
      <c r="D183" s="95">
        <v>104162.11</v>
      </c>
      <c r="E183" s="95">
        <v>6644.24</v>
      </c>
      <c r="F183" s="95">
        <v>3898.44</v>
      </c>
      <c r="G183" s="95">
        <v>93619.43</v>
      </c>
      <c r="H183" s="96">
        <v>632878.01</v>
      </c>
      <c r="I183" s="96">
        <v>86707.96</v>
      </c>
      <c r="J183" s="96">
        <v>37858.86</v>
      </c>
      <c r="K183" s="96">
        <v>508311.19</v>
      </c>
      <c r="L183" s="357">
        <v>6.0758946799368792</v>
      </c>
      <c r="M183" s="357">
        <v>13.05</v>
      </c>
      <c r="N183" s="357">
        <v>9.7112845138055217</v>
      </c>
      <c r="O183" s="357">
        <v>5.429548011561276</v>
      </c>
      <c r="P183" s="97"/>
      <c r="Q183" s="97"/>
      <c r="R183" s="97">
        <v>19</v>
      </c>
    </row>
    <row r="184" spans="1:18" ht="24">
      <c r="A184" s="93">
        <v>53.61</v>
      </c>
      <c r="B184" s="86" t="s">
        <v>306</v>
      </c>
      <c r="C184" s="94" t="s">
        <v>307</v>
      </c>
      <c r="D184" s="95">
        <v>105596.13</v>
      </c>
      <c r="E184" s="95">
        <v>8020.16</v>
      </c>
      <c r="F184" s="95">
        <v>3898.44</v>
      </c>
      <c r="G184" s="95">
        <v>93677.53</v>
      </c>
      <c r="H184" s="96">
        <v>651188.19999999995</v>
      </c>
      <c r="I184" s="96">
        <v>104664.5</v>
      </c>
      <c r="J184" s="96">
        <v>37858.86</v>
      </c>
      <c r="K184" s="96">
        <v>508664.84</v>
      </c>
      <c r="L184" s="357">
        <v>6.1667809227478312</v>
      </c>
      <c r="M184" s="357">
        <v>13.05</v>
      </c>
      <c r="N184" s="357">
        <v>9.7112845138055217</v>
      </c>
      <c r="O184" s="357">
        <v>5.4299557215054675</v>
      </c>
      <c r="P184" s="97"/>
      <c r="Q184" s="97"/>
      <c r="R184" s="97">
        <v>19</v>
      </c>
    </row>
    <row r="185" spans="1:18" ht="24">
      <c r="A185" s="98">
        <v>53.62</v>
      </c>
      <c r="B185" s="99" t="s">
        <v>308</v>
      </c>
      <c r="C185" s="100" t="s">
        <v>309</v>
      </c>
      <c r="D185" s="101">
        <v>103940.78</v>
      </c>
      <c r="E185" s="101">
        <v>6713.4</v>
      </c>
      <c r="F185" s="101">
        <v>3898.44</v>
      </c>
      <c r="G185" s="101">
        <v>93328.94</v>
      </c>
      <c r="H185" s="102">
        <v>632010.97</v>
      </c>
      <c r="I185" s="102">
        <v>87609.2</v>
      </c>
      <c r="J185" s="102">
        <v>37858.86</v>
      </c>
      <c r="K185" s="102">
        <v>506542.91</v>
      </c>
      <c r="L185" s="356">
        <v>6.0804909295466132</v>
      </c>
      <c r="M185" s="356">
        <v>13.05</v>
      </c>
      <c r="N185" s="356">
        <v>9.7112845138055217</v>
      </c>
      <c r="O185" s="356">
        <v>5.4275009445087443</v>
      </c>
      <c r="P185" s="103"/>
      <c r="Q185" s="103"/>
      <c r="R185" s="103">
        <v>19</v>
      </c>
    </row>
    <row r="186" spans="1:18" ht="12.75">
      <c r="A186" s="428" t="s">
        <v>310</v>
      </c>
      <c r="B186" s="429"/>
      <c r="C186" s="429"/>
      <c r="D186" s="429"/>
      <c r="E186" s="429"/>
      <c r="F186" s="429"/>
      <c r="G186" s="429"/>
      <c r="H186" s="429"/>
      <c r="I186" s="429"/>
      <c r="J186" s="429"/>
      <c r="K186" s="429"/>
      <c r="L186" s="429"/>
      <c r="M186" s="429"/>
      <c r="N186" s="429"/>
      <c r="O186" s="429"/>
      <c r="P186" s="429"/>
      <c r="Q186" s="429"/>
      <c r="R186" s="429"/>
    </row>
    <row r="187" spans="1:18" ht="36">
      <c r="A187" s="93">
        <v>53.63</v>
      </c>
      <c r="B187" s="86" t="s">
        <v>311</v>
      </c>
      <c r="C187" s="94" t="s">
        <v>312</v>
      </c>
      <c r="D187" s="95">
        <v>287.39</v>
      </c>
      <c r="E187" s="95">
        <v>133.97</v>
      </c>
      <c r="F187" s="95">
        <v>5.25</v>
      </c>
      <c r="G187" s="95">
        <v>148.16999999999999</v>
      </c>
      <c r="H187" s="96">
        <v>2923.89</v>
      </c>
      <c r="I187" s="96">
        <v>1748.29</v>
      </c>
      <c r="J187" s="96">
        <v>26.53</v>
      </c>
      <c r="K187" s="96">
        <v>1149.07</v>
      </c>
      <c r="L187" s="357">
        <v>10.173944813667838</v>
      </c>
      <c r="M187" s="357">
        <v>13.05</v>
      </c>
      <c r="N187" s="357">
        <v>5.0533333333333337</v>
      </c>
      <c r="O187" s="357">
        <v>7.7550786259026792</v>
      </c>
      <c r="P187" s="97"/>
      <c r="Q187" s="97"/>
      <c r="R187" s="97">
        <v>20</v>
      </c>
    </row>
    <row r="188" spans="1:18" ht="36">
      <c r="A188" s="93">
        <v>53.64</v>
      </c>
      <c r="B188" s="86" t="s">
        <v>313</v>
      </c>
      <c r="C188" s="94" t="s">
        <v>314</v>
      </c>
      <c r="D188" s="95">
        <v>912.27</v>
      </c>
      <c r="E188" s="95">
        <v>72.84</v>
      </c>
      <c r="F188" s="95">
        <v>84.97</v>
      </c>
      <c r="G188" s="95">
        <v>754.46</v>
      </c>
      <c r="H188" s="96">
        <v>5613.81</v>
      </c>
      <c r="I188" s="96">
        <v>950.61</v>
      </c>
      <c r="J188" s="96">
        <v>429.83</v>
      </c>
      <c r="K188" s="96">
        <v>4233.37</v>
      </c>
      <c r="L188" s="357">
        <v>6.153671610378507</v>
      </c>
      <c r="M188" s="357">
        <v>13.05</v>
      </c>
      <c r="N188" s="357">
        <v>5.0586089207955744</v>
      </c>
      <c r="O188" s="357">
        <v>5.6111258383479568</v>
      </c>
      <c r="P188" s="97"/>
      <c r="Q188" s="97"/>
      <c r="R188" s="97">
        <v>20</v>
      </c>
    </row>
    <row r="189" spans="1:18" ht="36">
      <c r="A189" s="93">
        <v>53.65</v>
      </c>
      <c r="B189" s="86" t="s">
        <v>315</v>
      </c>
      <c r="C189" s="94" t="s">
        <v>316</v>
      </c>
      <c r="D189" s="95">
        <v>1033.58</v>
      </c>
      <c r="E189" s="95">
        <v>225.33</v>
      </c>
      <c r="F189" s="95">
        <v>148.49</v>
      </c>
      <c r="G189" s="95">
        <v>659.76</v>
      </c>
      <c r="H189" s="96">
        <v>6752.58</v>
      </c>
      <c r="I189" s="96">
        <v>2940.66</v>
      </c>
      <c r="J189" s="96">
        <v>819.35</v>
      </c>
      <c r="K189" s="96">
        <v>2992.57</v>
      </c>
      <c r="L189" s="357">
        <v>6.5331953017666757</v>
      </c>
      <c r="M189" s="357">
        <v>13.05</v>
      </c>
      <c r="N189" s="357">
        <v>5.5178799919186474</v>
      </c>
      <c r="O189" s="357">
        <v>4.5358463683763794</v>
      </c>
      <c r="P189" s="97"/>
      <c r="Q189" s="97"/>
      <c r="R189" s="97">
        <v>20</v>
      </c>
    </row>
    <row r="190" spans="1:18" ht="36">
      <c r="A190" s="93">
        <v>53.66</v>
      </c>
      <c r="B190" s="86" t="s">
        <v>317</v>
      </c>
      <c r="C190" s="94" t="s">
        <v>318</v>
      </c>
      <c r="D190" s="95">
        <v>751.38</v>
      </c>
      <c r="E190" s="95">
        <v>84.14</v>
      </c>
      <c r="F190" s="95">
        <v>67.14</v>
      </c>
      <c r="G190" s="95">
        <v>600.1</v>
      </c>
      <c r="H190" s="96">
        <v>3877.21</v>
      </c>
      <c r="I190" s="96">
        <v>1098.04</v>
      </c>
      <c r="J190" s="96">
        <v>339.62</v>
      </c>
      <c r="K190" s="96">
        <v>2439.5500000000002</v>
      </c>
      <c r="L190" s="357">
        <v>5.1601187148979211</v>
      </c>
      <c r="M190" s="357">
        <v>13.05</v>
      </c>
      <c r="N190" s="357">
        <v>5.0583854632112004</v>
      </c>
      <c r="O190" s="357">
        <v>4.0652391268121981</v>
      </c>
      <c r="P190" s="97"/>
      <c r="Q190" s="97"/>
      <c r="R190" s="97">
        <v>20</v>
      </c>
    </row>
    <row r="191" spans="1:18" ht="36">
      <c r="A191" s="93">
        <v>53.67</v>
      </c>
      <c r="B191" s="86" t="s">
        <v>319</v>
      </c>
      <c r="C191" s="94" t="s">
        <v>320</v>
      </c>
      <c r="D191" s="95">
        <v>1478.5</v>
      </c>
      <c r="E191" s="95">
        <v>175.08</v>
      </c>
      <c r="F191" s="95">
        <v>114.34</v>
      </c>
      <c r="G191" s="95">
        <v>1189.08</v>
      </c>
      <c r="H191" s="96">
        <v>7697.16</v>
      </c>
      <c r="I191" s="96">
        <v>2284.83</v>
      </c>
      <c r="J191" s="96">
        <v>578.41</v>
      </c>
      <c r="K191" s="96">
        <v>4833.92</v>
      </c>
      <c r="L191" s="357">
        <v>5.2060601961447412</v>
      </c>
      <c r="M191" s="357">
        <v>13.05</v>
      </c>
      <c r="N191" s="357">
        <v>5.0586846248032185</v>
      </c>
      <c r="O191" s="357">
        <v>4.0652605375584487</v>
      </c>
      <c r="P191" s="97"/>
      <c r="Q191" s="97"/>
      <c r="R191" s="97">
        <v>20</v>
      </c>
    </row>
    <row r="192" spans="1:18" ht="48">
      <c r="A192" s="93">
        <v>53.68</v>
      </c>
      <c r="B192" s="86" t="s">
        <v>321</v>
      </c>
      <c r="C192" s="94" t="s">
        <v>322</v>
      </c>
      <c r="D192" s="95">
        <v>4128.79</v>
      </c>
      <c r="E192" s="95">
        <v>342.63</v>
      </c>
      <c r="F192" s="95">
        <v>3786.16</v>
      </c>
      <c r="G192" s="95"/>
      <c r="H192" s="96">
        <v>23106.78</v>
      </c>
      <c r="I192" s="96">
        <v>4471.2299999999996</v>
      </c>
      <c r="J192" s="96">
        <v>18635.55</v>
      </c>
      <c r="K192" s="96"/>
      <c r="L192" s="357">
        <v>5.5965016384945709</v>
      </c>
      <c r="M192" s="357">
        <v>13.05</v>
      </c>
      <c r="N192" s="357">
        <v>4.9220186151668184</v>
      </c>
      <c r="O192" s="357" t="s">
        <v>135</v>
      </c>
      <c r="P192" s="97"/>
      <c r="Q192" s="97"/>
      <c r="R192" s="97">
        <v>20</v>
      </c>
    </row>
    <row r="193" spans="1:18" ht="60">
      <c r="A193" s="93">
        <v>53.69</v>
      </c>
      <c r="B193" s="86" t="s">
        <v>323</v>
      </c>
      <c r="C193" s="94" t="s">
        <v>324</v>
      </c>
      <c r="D193" s="95">
        <v>7265.55</v>
      </c>
      <c r="E193" s="95">
        <v>370.29</v>
      </c>
      <c r="F193" s="95">
        <v>6895.26</v>
      </c>
      <c r="G193" s="95"/>
      <c r="H193" s="96">
        <v>38764.04</v>
      </c>
      <c r="I193" s="96">
        <v>4832.16</v>
      </c>
      <c r="J193" s="96">
        <v>33931.879999999997</v>
      </c>
      <c r="K193" s="96"/>
      <c r="L193" s="357">
        <v>5.3353207947092791</v>
      </c>
      <c r="M193" s="357">
        <v>13.05</v>
      </c>
      <c r="N193" s="357">
        <v>4.9210443115995623</v>
      </c>
      <c r="O193" s="357" t="s">
        <v>135</v>
      </c>
      <c r="P193" s="97"/>
      <c r="Q193" s="97"/>
      <c r="R193" s="97">
        <v>20</v>
      </c>
    </row>
    <row r="194" spans="1:18" ht="48">
      <c r="A194" s="93">
        <v>53.7</v>
      </c>
      <c r="B194" s="86" t="s">
        <v>325</v>
      </c>
      <c r="C194" s="94" t="s">
        <v>326</v>
      </c>
      <c r="D194" s="95">
        <v>4550.22</v>
      </c>
      <c r="E194" s="95">
        <v>323.73</v>
      </c>
      <c r="F194" s="95">
        <v>4226.49</v>
      </c>
      <c r="G194" s="95"/>
      <c r="H194" s="96">
        <v>25023.48</v>
      </c>
      <c r="I194" s="96">
        <v>4224.5200000000004</v>
      </c>
      <c r="J194" s="96">
        <v>20798.96</v>
      </c>
      <c r="K194" s="96"/>
      <c r="L194" s="357">
        <v>5.4994000290095864</v>
      </c>
      <c r="M194" s="357">
        <v>13.05</v>
      </c>
      <c r="N194" s="357">
        <v>4.9210952823737903</v>
      </c>
      <c r="O194" s="357" t="s">
        <v>135</v>
      </c>
      <c r="P194" s="97"/>
      <c r="Q194" s="97"/>
      <c r="R194" s="97">
        <v>20</v>
      </c>
    </row>
    <row r="195" spans="1:18" ht="48">
      <c r="A195" s="93">
        <v>53.71</v>
      </c>
      <c r="B195" s="86" t="s">
        <v>327</v>
      </c>
      <c r="C195" s="94" t="s">
        <v>328</v>
      </c>
      <c r="D195" s="95">
        <v>6046.77</v>
      </c>
      <c r="E195" s="95">
        <v>389.19</v>
      </c>
      <c r="F195" s="95">
        <v>5657.58</v>
      </c>
      <c r="G195" s="95"/>
      <c r="H195" s="96">
        <v>32921.300000000003</v>
      </c>
      <c r="I195" s="96">
        <v>5078.87</v>
      </c>
      <c r="J195" s="96">
        <v>27842.43</v>
      </c>
      <c r="K195" s="96"/>
      <c r="L195" s="357">
        <v>5.4444438931859489</v>
      </c>
      <c r="M195" s="357">
        <v>13.05</v>
      </c>
      <c r="N195" s="357">
        <v>4.9212613873776423</v>
      </c>
      <c r="O195" s="357" t="s">
        <v>135</v>
      </c>
      <c r="P195" s="97"/>
      <c r="Q195" s="97"/>
      <c r="R195" s="97">
        <v>20</v>
      </c>
    </row>
    <row r="196" spans="1:18" ht="24">
      <c r="A196" s="93">
        <v>53.72</v>
      </c>
      <c r="B196" s="86" t="s">
        <v>329</v>
      </c>
      <c r="C196" s="94" t="s">
        <v>330</v>
      </c>
      <c r="D196" s="95">
        <v>1476.39</v>
      </c>
      <c r="E196" s="95">
        <v>163.47</v>
      </c>
      <c r="F196" s="95">
        <v>4.2</v>
      </c>
      <c r="G196" s="95">
        <v>1308.72</v>
      </c>
      <c r="H196" s="96">
        <v>5380.72</v>
      </c>
      <c r="I196" s="96">
        <v>2133.2199999999998</v>
      </c>
      <c r="J196" s="96">
        <v>21.23</v>
      </c>
      <c r="K196" s="96">
        <v>3226.27</v>
      </c>
      <c r="L196" s="357">
        <v>3.6445112741213364</v>
      </c>
      <c r="M196" s="357">
        <v>13.05</v>
      </c>
      <c r="N196" s="357">
        <v>5.0547619047619046</v>
      </c>
      <c r="O196" s="357">
        <v>2.465210281802066</v>
      </c>
      <c r="P196" s="97"/>
      <c r="Q196" s="97"/>
      <c r="R196" s="97">
        <v>20</v>
      </c>
    </row>
    <row r="197" spans="1:18" ht="24">
      <c r="A197" s="93">
        <v>53.73</v>
      </c>
      <c r="B197" s="86" t="s">
        <v>331</v>
      </c>
      <c r="C197" s="94" t="s">
        <v>332</v>
      </c>
      <c r="D197" s="95">
        <v>18.89</v>
      </c>
      <c r="E197" s="95">
        <v>16.28</v>
      </c>
      <c r="F197" s="95">
        <v>1.05</v>
      </c>
      <c r="G197" s="95">
        <v>1.56</v>
      </c>
      <c r="H197" s="96">
        <v>226.52</v>
      </c>
      <c r="I197" s="96">
        <v>212.45</v>
      </c>
      <c r="J197" s="96">
        <v>5.31</v>
      </c>
      <c r="K197" s="96">
        <v>8.76</v>
      </c>
      <c r="L197" s="357">
        <v>11.991529910005294</v>
      </c>
      <c r="M197" s="357">
        <v>13.05</v>
      </c>
      <c r="N197" s="357">
        <v>5.0571428571428569</v>
      </c>
      <c r="O197" s="357">
        <v>5.615384615384615</v>
      </c>
      <c r="P197" s="97"/>
      <c r="Q197" s="97"/>
      <c r="R197" s="97">
        <v>20</v>
      </c>
    </row>
    <row r="198" spans="1:18" ht="24">
      <c r="A198" s="93">
        <v>53.74</v>
      </c>
      <c r="B198" s="86" t="s">
        <v>333</v>
      </c>
      <c r="C198" s="94" t="s">
        <v>334</v>
      </c>
      <c r="D198" s="95">
        <v>332.58</v>
      </c>
      <c r="E198" s="95">
        <v>298.2</v>
      </c>
      <c r="F198" s="95">
        <v>7.34</v>
      </c>
      <c r="G198" s="95">
        <v>27.04</v>
      </c>
      <c r="H198" s="96">
        <v>4160.05</v>
      </c>
      <c r="I198" s="96">
        <v>3891.56</v>
      </c>
      <c r="J198" s="96">
        <v>37.15</v>
      </c>
      <c r="K198" s="96">
        <v>231.34</v>
      </c>
      <c r="L198" s="357">
        <v>12.508419027001024</v>
      </c>
      <c r="M198" s="357">
        <v>13.05</v>
      </c>
      <c r="N198" s="357">
        <v>5.061307901907357</v>
      </c>
      <c r="O198" s="357">
        <v>8.5554733727810657</v>
      </c>
      <c r="P198" s="97"/>
      <c r="Q198" s="97"/>
      <c r="R198" s="97">
        <v>20</v>
      </c>
    </row>
    <row r="199" spans="1:18" ht="36">
      <c r="A199" s="93">
        <v>53.75</v>
      </c>
      <c r="B199" s="86" t="s">
        <v>335</v>
      </c>
      <c r="C199" s="94" t="s">
        <v>336</v>
      </c>
      <c r="D199" s="95">
        <v>100.46</v>
      </c>
      <c r="E199" s="95">
        <v>16.600000000000001</v>
      </c>
      <c r="F199" s="95"/>
      <c r="G199" s="95">
        <v>83.86</v>
      </c>
      <c r="H199" s="96">
        <v>572.99</v>
      </c>
      <c r="I199" s="96">
        <v>216.64</v>
      </c>
      <c r="J199" s="96"/>
      <c r="K199" s="96">
        <v>356.35</v>
      </c>
      <c r="L199" s="357">
        <v>5.7036631495122441</v>
      </c>
      <c r="M199" s="357">
        <v>13.05</v>
      </c>
      <c r="N199" s="357" t="s">
        <v>135</v>
      </c>
      <c r="O199" s="357">
        <v>4.2493441450035778</v>
      </c>
      <c r="P199" s="97"/>
      <c r="Q199" s="97"/>
      <c r="R199" s="97">
        <v>20</v>
      </c>
    </row>
    <row r="200" spans="1:18" ht="24">
      <c r="A200" s="93">
        <v>53.76</v>
      </c>
      <c r="B200" s="86" t="s">
        <v>337</v>
      </c>
      <c r="C200" s="94" t="s">
        <v>338</v>
      </c>
      <c r="D200" s="95">
        <v>165.65</v>
      </c>
      <c r="E200" s="95">
        <v>145.63999999999999</v>
      </c>
      <c r="F200" s="95">
        <v>8.39</v>
      </c>
      <c r="G200" s="95">
        <v>11.62</v>
      </c>
      <c r="H200" s="96">
        <v>2019.02</v>
      </c>
      <c r="I200" s="96">
        <v>1900.53</v>
      </c>
      <c r="J200" s="96">
        <v>42.45</v>
      </c>
      <c r="K200" s="96">
        <v>76.040000000000006</v>
      </c>
      <c r="L200" s="357">
        <v>12.188469664956232</v>
      </c>
      <c r="M200" s="357">
        <v>13.05</v>
      </c>
      <c r="N200" s="357">
        <v>5.059594755661502</v>
      </c>
      <c r="O200" s="357">
        <v>6.5438898450946654</v>
      </c>
      <c r="P200" s="97"/>
      <c r="Q200" s="97"/>
      <c r="R200" s="97">
        <v>20</v>
      </c>
    </row>
    <row r="201" spans="1:18" ht="24">
      <c r="A201" s="93">
        <v>53.77</v>
      </c>
      <c r="B201" s="86" t="s">
        <v>339</v>
      </c>
      <c r="C201" s="94" t="s">
        <v>340</v>
      </c>
      <c r="D201" s="95">
        <v>635.32000000000005</v>
      </c>
      <c r="E201" s="95">
        <v>606.22</v>
      </c>
      <c r="F201" s="95">
        <v>1.05</v>
      </c>
      <c r="G201" s="95">
        <v>28.05</v>
      </c>
      <c r="H201" s="96">
        <v>8099.53</v>
      </c>
      <c r="I201" s="96">
        <v>7911.14</v>
      </c>
      <c r="J201" s="96">
        <v>5.31</v>
      </c>
      <c r="K201" s="96">
        <v>183.08</v>
      </c>
      <c r="L201" s="357">
        <v>12.748740792041804</v>
      </c>
      <c r="M201" s="357">
        <v>13.05</v>
      </c>
      <c r="N201" s="357">
        <v>5.0571428571428569</v>
      </c>
      <c r="O201" s="357">
        <v>6.5269162210338685</v>
      </c>
      <c r="P201" s="97"/>
      <c r="Q201" s="97"/>
      <c r="R201" s="97">
        <v>20</v>
      </c>
    </row>
    <row r="202" spans="1:18" ht="36">
      <c r="A202" s="93">
        <v>53.78</v>
      </c>
      <c r="B202" s="86" t="s">
        <v>341</v>
      </c>
      <c r="C202" s="94" t="s">
        <v>342</v>
      </c>
      <c r="D202" s="95">
        <v>4251.2700000000004</v>
      </c>
      <c r="E202" s="95">
        <v>1488.96</v>
      </c>
      <c r="F202" s="95">
        <v>1148.6099999999999</v>
      </c>
      <c r="G202" s="95">
        <v>1613.7</v>
      </c>
      <c r="H202" s="96">
        <v>30732.880000000001</v>
      </c>
      <c r="I202" s="96">
        <v>19431.13</v>
      </c>
      <c r="J202" s="96">
        <v>7173.12</v>
      </c>
      <c r="K202" s="96">
        <v>4128.63</v>
      </c>
      <c r="L202" s="357">
        <v>7.2291056554864781</v>
      </c>
      <c r="M202" s="357">
        <v>13.05</v>
      </c>
      <c r="N202" s="357">
        <v>6.245044009716092</v>
      </c>
      <c r="O202" s="357">
        <v>2.5584867075664621</v>
      </c>
      <c r="P202" s="97"/>
      <c r="Q202" s="97"/>
      <c r="R202" s="97">
        <v>20</v>
      </c>
    </row>
    <row r="203" spans="1:18" ht="36">
      <c r="A203" s="93">
        <v>53.79</v>
      </c>
      <c r="B203" s="86" t="s">
        <v>343</v>
      </c>
      <c r="C203" s="94" t="s">
        <v>344</v>
      </c>
      <c r="D203" s="95">
        <v>5114.75</v>
      </c>
      <c r="E203" s="95">
        <v>1970.05</v>
      </c>
      <c r="F203" s="95">
        <v>1531</v>
      </c>
      <c r="G203" s="95">
        <v>1613.7</v>
      </c>
      <c r="H203" s="96">
        <v>39394.800000000003</v>
      </c>
      <c r="I203" s="96">
        <v>25709.52</v>
      </c>
      <c r="J203" s="96">
        <v>9556.65</v>
      </c>
      <c r="K203" s="96">
        <v>4128.63</v>
      </c>
      <c r="L203" s="357">
        <v>7.7021946331687774</v>
      </c>
      <c r="M203" s="357">
        <v>13.05</v>
      </c>
      <c r="N203" s="357">
        <v>6.2420966688438924</v>
      </c>
      <c r="O203" s="357">
        <v>2.5584867075664621</v>
      </c>
      <c r="P203" s="97"/>
      <c r="Q203" s="97"/>
      <c r="R203" s="97">
        <v>20</v>
      </c>
    </row>
    <row r="204" spans="1:18" ht="36">
      <c r="A204" s="93">
        <v>53.8</v>
      </c>
      <c r="B204" s="86" t="s">
        <v>345</v>
      </c>
      <c r="C204" s="94" t="s">
        <v>346</v>
      </c>
      <c r="D204" s="95">
        <v>5909.06</v>
      </c>
      <c r="E204" s="95">
        <v>2495.89</v>
      </c>
      <c r="F204" s="95">
        <v>1799.47</v>
      </c>
      <c r="G204" s="95">
        <v>1613.7</v>
      </c>
      <c r="H204" s="96">
        <v>47931.86</v>
      </c>
      <c r="I204" s="96">
        <v>32571.73</v>
      </c>
      <c r="J204" s="96">
        <v>11231.5</v>
      </c>
      <c r="K204" s="96">
        <v>4128.63</v>
      </c>
      <c r="L204" s="357">
        <v>8.1115879683062957</v>
      </c>
      <c r="M204" s="357">
        <v>13.05</v>
      </c>
      <c r="N204" s="357">
        <v>6.2415600148932739</v>
      </c>
      <c r="O204" s="357">
        <v>2.5584867075664621</v>
      </c>
      <c r="P204" s="97"/>
      <c r="Q204" s="97"/>
      <c r="R204" s="97">
        <v>20</v>
      </c>
    </row>
    <row r="205" spans="1:18" ht="24">
      <c r="A205" s="93">
        <v>53.81</v>
      </c>
      <c r="B205" s="86" t="s">
        <v>347</v>
      </c>
      <c r="C205" s="94" t="s">
        <v>348</v>
      </c>
      <c r="D205" s="95">
        <v>1472.58</v>
      </c>
      <c r="E205" s="95">
        <v>366.76</v>
      </c>
      <c r="F205" s="95">
        <v>1105.82</v>
      </c>
      <c r="G205" s="95"/>
      <c r="H205" s="96">
        <v>13506.08</v>
      </c>
      <c r="I205" s="96">
        <v>4786.17</v>
      </c>
      <c r="J205" s="96">
        <v>8719.91</v>
      </c>
      <c r="K205" s="96"/>
      <c r="L205" s="357">
        <v>9.1717122329516911</v>
      </c>
      <c r="M205" s="357">
        <v>13.05</v>
      </c>
      <c r="N205" s="357">
        <v>7.8854696062650342</v>
      </c>
      <c r="O205" s="357" t="s">
        <v>135</v>
      </c>
      <c r="P205" s="97"/>
      <c r="Q205" s="97"/>
      <c r="R205" s="97">
        <v>20</v>
      </c>
    </row>
    <row r="206" spans="1:18" ht="24">
      <c r="A206" s="93">
        <v>53.82</v>
      </c>
      <c r="B206" s="86" t="s">
        <v>349</v>
      </c>
      <c r="C206" s="94" t="s">
        <v>350</v>
      </c>
      <c r="D206" s="95">
        <v>6713.21</v>
      </c>
      <c r="E206" s="95">
        <v>459.6</v>
      </c>
      <c r="F206" s="95">
        <v>20.98</v>
      </c>
      <c r="G206" s="95">
        <v>6232.63</v>
      </c>
      <c r="H206" s="96">
        <v>56206.21</v>
      </c>
      <c r="I206" s="96">
        <v>5997.75</v>
      </c>
      <c r="J206" s="96">
        <v>106.13</v>
      </c>
      <c r="K206" s="96">
        <v>50102.33</v>
      </c>
      <c r="L206" s="357">
        <v>8.3724790375990032</v>
      </c>
      <c r="M206" s="357">
        <v>13.05</v>
      </c>
      <c r="N206" s="357">
        <v>5.0586272640610099</v>
      </c>
      <c r="O206" s="357">
        <v>8.0387139939319354</v>
      </c>
      <c r="P206" s="97"/>
      <c r="Q206" s="97"/>
      <c r="R206" s="97">
        <v>20</v>
      </c>
    </row>
    <row r="207" spans="1:18" ht="36">
      <c r="A207" s="93">
        <v>53.83</v>
      </c>
      <c r="B207" s="86" t="s">
        <v>351</v>
      </c>
      <c r="C207" s="94" t="s">
        <v>352</v>
      </c>
      <c r="D207" s="95">
        <v>3034.6</v>
      </c>
      <c r="E207" s="95">
        <v>87.53</v>
      </c>
      <c r="F207" s="95">
        <v>14.69</v>
      </c>
      <c r="G207" s="95">
        <v>2932.38</v>
      </c>
      <c r="H207" s="96">
        <v>24862.65</v>
      </c>
      <c r="I207" s="96">
        <v>1142.18</v>
      </c>
      <c r="J207" s="96">
        <v>74.290000000000006</v>
      </c>
      <c r="K207" s="96">
        <v>23646.18</v>
      </c>
      <c r="L207" s="357">
        <v>8.1930567455348324</v>
      </c>
      <c r="M207" s="357">
        <v>13.05</v>
      </c>
      <c r="N207" s="357">
        <v>5.0571817562968011</v>
      </c>
      <c r="O207" s="357">
        <v>8.063818468274917</v>
      </c>
      <c r="P207" s="97"/>
      <c r="Q207" s="97"/>
      <c r="R207" s="97">
        <v>20</v>
      </c>
    </row>
    <row r="208" spans="1:18" ht="36">
      <c r="A208" s="93">
        <v>53.84</v>
      </c>
      <c r="B208" s="86" t="s">
        <v>353</v>
      </c>
      <c r="C208" s="94" t="s">
        <v>354</v>
      </c>
      <c r="D208" s="95">
        <v>3188.7</v>
      </c>
      <c r="E208" s="95">
        <v>135.96</v>
      </c>
      <c r="F208" s="95">
        <v>4.2</v>
      </c>
      <c r="G208" s="95">
        <v>3048.54</v>
      </c>
      <c r="H208" s="96">
        <v>26387.55</v>
      </c>
      <c r="I208" s="96">
        <v>1774.18</v>
      </c>
      <c r="J208" s="96">
        <v>21.23</v>
      </c>
      <c r="K208" s="96">
        <v>24592.14</v>
      </c>
      <c r="L208" s="357">
        <v>8.2753316398532313</v>
      </c>
      <c r="M208" s="357">
        <v>13.05</v>
      </c>
      <c r="N208" s="357">
        <v>5.0547619047619046</v>
      </c>
      <c r="O208" s="357">
        <v>8.0668582337774808</v>
      </c>
      <c r="P208" s="97"/>
      <c r="Q208" s="97"/>
      <c r="R208" s="97">
        <v>20</v>
      </c>
    </row>
    <row r="209" spans="1:18" ht="60">
      <c r="A209" s="93">
        <v>53.85</v>
      </c>
      <c r="B209" s="86" t="s">
        <v>355</v>
      </c>
      <c r="C209" s="94" t="s">
        <v>356</v>
      </c>
      <c r="D209" s="95">
        <v>11187.4</v>
      </c>
      <c r="E209" s="95">
        <v>1181.56</v>
      </c>
      <c r="F209" s="95">
        <v>3461.85</v>
      </c>
      <c r="G209" s="95">
        <v>6543.99</v>
      </c>
      <c r="H209" s="96">
        <v>59186.75</v>
      </c>
      <c r="I209" s="96">
        <v>15419.14</v>
      </c>
      <c r="J209" s="96">
        <v>14459.2</v>
      </c>
      <c r="K209" s="96">
        <v>29308.41</v>
      </c>
      <c r="L209" s="357">
        <v>5.2904830434238521</v>
      </c>
      <c r="M209" s="357">
        <v>13.05</v>
      </c>
      <c r="N209" s="357">
        <v>4.1767263168537054</v>
      </c>
      <c r="O209" s="357">
        <v>4.4786758537222706</v>
      </c>
      <c r="P209" s="97"/>
      <c r="Q209" s="97"/>
      <c r="R209" s="97">
        <v>20</v>
      </c>
    </row>
    <row r="210" spans="1:18" ht="60">
      <c r="A210" s="93">
        <v>53.86</v>
      </c>
      <c r="B210" s="86" t="s">
        <v>357</v>
      </c>
      <c r="C210" s="94" t="s">
        <v>358</v>
      </c>
      <c r="D210" s="95">
        <v>1734.46</v>
      </c>
      <c r="E210" s="95">
        <v>731.01</v>
      </c>
      <c r="F210" s="95">
        <v>12.86</v>
      </c>
      <c r="G210" s="95">
        <v>990.59</v>
      </c>
      <c r="H210" s="96">
        <v>14149.11</v>
      </c>
      <c r="I210" s="96">
        <v>9539.42</v>
      </c>
      <c r="J210" s="96">
        <v>69.92</v>
      </c>
      <c r="K210" s="96">
        <v>4539.7700000000004</v>
      </c>
      <c r="L210" s="357">
        <v>8.1576456072783454</v>
      </c>
      <c r="M210" s="357">
        <v>13.05</v>
      </c>
      <c r="N210" s="357">
        <v>5.4370139968895801</v>
      </c>
      <c r="O210" s="357">
        <v>4.5828950423484995</v>
      </c>
      <c r="P210" s="97"/>
      <c r="Q210" s="97"/>
      <c r="R210" s="97">
        <v>20</v>
      </c>
    </row>
    <row r="211" spans="1:18" ht="60">
      <c r="A211" s="93">
        <v>53.87</v>
      </c>
      <c r="B211" s="86" t="s">
        <v>359</v>
      </c>
      <c r="C211" s="94" t="s">
        <v>360</v>
      </c>
      <c r="D211" s="95">
        <v>4670.01</v>
      </c>
      <c r="E211" s="95">
        <v>840.66</v>
      </c>
      <c r="F211" s="95">
        <v>18.100000000000001</v>
      </c>
      <c r="G211" s="95">
        <v>3811.25</v>
      </c>
      <c r="H211" s="96">
        <v>38352.01</v>
      </c>
      <c r="I211" s="96">
        <v>10970.42</v>
      </c>
      <c r="J211" s="96">
        <v>96.45</v>
      </c>
      <c r="K211" s="96">
        <v>27285.14</v>
      </c>
      <c r="L211" s="357">
        <v>8.2124042560936701</v>
      </c>
      <c r="M211" s="357">
        <v>13.05</v>
      </c>
      <c r="N211" s="357">
        <v>5.3287292817679557</v>
      </c>
      <c r="O211" s="357">
        <v>7.1591052804198094</v>
      </c>
      <c r="P211" s="97"/>
      <c r="Q211" s="97"/>
      <c r="R211" s="97">
        <v>20</v>
      </c>
    </row>
    <row r="212" spans="1:18" ht="72">
      <c r="A212" s="93">
        <v>53.88</v>
      </c>
      <c r="B212" s="86" t="s">
        <v>361</v>
      </c>
      <c r="C212" s="94" t="s">
        <v>362</v>
      </c>
      <c r="D212" s="95">
        <v>11424.71</v>
      </c>
      <c r="E212" s="95">
        <v>511.31</v>
      </c>
      <c r="F212" s="95">
        <v>9922.81</v>
      </c>
      <c r="G212" s="95">
        <v>990.59</v>
      </c>
      <c r="H212" s="96">
        <v>59055.86</v>
      </c>
      <c r="I212" s="96">
        <v>6672.73</v>
      </c>
      <c r="J212" s="96">
        <v>47843.360000000001</v>
      </c>
      <c r="K212" s="96">
        <v>4539.7700000000004</v>
      </c>
      <c r="L212" s="357">
        <v>5.1691342712418962</v>
      </c>
      <c r="M212" s="357">
        <v>13.05</v>
      </c>
      <c r="N212" s="357">
        <v>4.8215535720224416</v>
      </c>
      <c r="O212" s="357">
        <v>4.5828950423484995</v>
      </c>
      <c r="P212" s="97"/>
      <c r="Q212" s="97"/>
      <c r="R212" s="97">
        <v>20</v>
      </c>
    </row>
    <row r="213" spans="1:18" ht="72">
      <c r="A213" s="93">
        <v>53.89</v>
      </c>
      <c r="B213" s="86" t="s">
        <v>363</v>
      </c>
      <c r="C213" s="94" t="s">
        <v>364</v>
      </c>
      <c r="D213" s="95">
        <v>15882.45</v>
      </c>
      <c r="E213" s="95">
        <v>594.72</v>
      </c>
      <c r="F213" s="95">
        <v>11476.48</v>
      </c>
      <c r="G213" s="95">
        <v>3811.25</v>
      </c>
      <c r="H213" s="96">
        <v>90380.52</v>
      </c>
      <c r="I213" s="96">
        <v>7760.89</v>
      </c>
      <c r="J213" s="96">
        <v>55334.49</v>
      </c>
      <c r="K213" s="96">
        <v>27285.14</v>
      </c>
      <c r="L213" s="357">
        <v>5.6905905575021487</v>
      </c>
      <c r="M213" s="357">
        <v>13.05</v>
      </c>
      <c r="N213" s="357">
        <v>4.821555912614321</v>
      </c>
      <c r="O213" s="357">
        <v>7.1591052804198094</v>
      </c>
      <c r="P213" s="97"/>
      <c r="Q213" s="97"/>
      <c r="R213" s="97">
        <v>20</v>
      </c>
    </row>
    <row r="214" spans="1:18" ht="72">
      <c r="A214" s="93">
        <v>53.9</v>
      </c>
      <c r="B214" s="86" t="s">
        <v>365</v>
      </c>
      <c r="C214" s="94" t="s">
        <v>366</v>
      </c>
      <c r="D214" s="95">
        <v>1514.76</v>
      </c>
      <c r="E214" s="95">
        <v>511.31</v>
      </c>
      <c r="F214" s="95">
        <v>12.86</v>
      </c>
      <c r="G214" s="95">
        <v>990.59</v>
      </c>
      <c r="H214" s="96">
        <v>11282.42</v>
      </c>
      <c r="I214" s="96">
        <v>6672.73</v>
      </c>
      <c r="J214" s="96">
        <v>69.92</v>
      </c>
      <c r="K214" s="96">
        <v>4539.7700000000004</v>
      </c>
      <c r="L214" s="357">
        <v>7.4483218463651006</v>
      </c>
      <c r="M214" s="357">
        <v>13.05</v>
      </c>
      <c r="N214" s="357">
        <v>5.4370139968895801</v>
      </c>
      <c r="O214" s="357">
        <v>4.5828950423484995</v>
      </c>
      <c r="P214" s="97"/>
      <c r="Q214" s="97"/>
      <c r="R214" s="97">
        <v>20</v>
      </c>
    </row>
    <row r="215" spans="1:18" ht="60">
      <c r="A215" s="93">
        <v>53.91</v>
      </c>
      <c r="B215" s="86" t="s">
        <v>367</v>
      </c>
      <c r="C215" s="94" t="s">
        <v>368</v>
      </c>
      <c r="D215" s="95">
        <v>4424.07</v>
      </c>
      <c r="E215" s="95">
        <v>594.72</v>
      </c>
      <c r="F215" s="95">
        <v>18.100000000000001</v>
      </c>
      <c r="G215" s="95">
        <v>3811.25</v>
      </c>
      <c r="H215" s="96">
        <v>35142.480000000003</v>
      </c>
      <c r="I215" s="96">
        <v>7760.89</v>
      </c>
      <c r="J215" s="96">
        <v>96.45</v>
      </c>
      <c r="K215" s="96">
        <v>27285.14</v>
      </c>
      <c r="L215" s="357">
        <v>7.943472865483594</v>
      </c>
      <c r="M215" s="357">
        <v>13.05</v>
      </c>
      <c r="N215" s="357">
        <v>5.3287292817679557</v>
      </c>
      <c r="O215" s="357">
        <v>7.1591052804198094</v>
      </c>
      <c r="P215" s="97"/>
      <c r="Q215" s="97"/>
      <c r="R215" s="97">
        <v>20</v>
      </c>
    </row>
    <row r="216" spans="1:18" ht="60">
      <c r="A216" s="93">
        <v>53.92</v>
      </c>
      <c r="B216" s="86" t="s">
        <v>369</v>
      </c>
      <c r="C216" s="94" t="s">
        <v>370</v>
      </c>
      <c r="D216" s="95">
        <v>4127.99</v>
      </c>
      <c r="E216" s="95">
        <v>511.65</v>
      </c>
      <c r="F216" s="95">
        <v>2625.75</v>
      </c>
      <c r="G216" s="95">
        <v>990.59</v>
      </c>
      <c r="H216" s="96">
        <v>22188.98</v>
      </c>
      <c r="I216" s="96">
        <v>6677.18</v>
      </c>
      <c r="J216" s="96">
        <v>10972.03</v>
      </c>
      <c r="K216" s="96">
        <v>4539.7700000000004</v>
      </c>
      <c r="L216" s="357">
        <v>5.3752504245407575</v>
      </c>
      <c r="M216" s="357">
        <v>13.05</v>
      </c>
      <c r="N216" s="357">
        <v>4.1786270589355423</v>
      </c>
      <c r="O216" s="357">
        <v>4.5828950423484995</v>
      </c>
      <c r="P216" s="97"/>
      <c r="Q216" s="97"/>
      <c r="R216" s="97">
        <v>20</v>
      </c>
    </row>
    <row r="217" spans="1:18" ht="60">
      <c r="A217" s="93">
        <v>53.93</v>
      </c>
      <c r="B217" s="86" t="s">
        <v>371</v>
      </c>
      <c r="C217" s="94" t="s">
        <v>372</v>
      </c>
      <c r="D217" s="95">
        <v>7438.73</v>
      </c>
      <c r="E217" s="95">
        <v>588.22</v>
      </c>
      <c r="F217" s="95">
        <v>3039.26</v>
      </c>
      <c r="G217" s="95">
        <v>3811.25</v>
      </c>
      <c r="H217" s="96">
        <v>47663.55</v>
      </c>
      <c r="I217" s="96">
        <v>7676.39</v>
      </c>
      <c r="J217" s="96">
        <v>12702.02</v>
      </c>
      <c r="K217" s="96">
        <v>27285.14</v>
      </c>
      <c r="L217" s="357">
        <v>6.4074848798114736</v>
      </c>
      <c r="M217" s="357">
        <v>13.05</v>
      </c>
      <c r="N217" s="357">
        <v>4.1793133854951536</v>
      </c>
      <c r="O217" s="357">
        <v>7.1591052804198094</v>
      </c>
      <c r="P217" s="97"/>
      <c r="Q217" s="97"/>
      <c r="R217" s="97">
        <v>20</v>
      </c>
    </row>
    <row r="218" spans="1:18" ht="24">
      <c r="A218" s="93">
        <v>53.94</v>
      </c>
      <c r="B218" s="86" t="s">
        <v>373</v>
      </c>
      <c r="C218" s="94" t="s">
        <v>374</v>
      </c>
      <c r="D218" s="95">
        <v>463.13</v>
      </c>
      <c r="E218" s="95">
        <v>130.44</v>
      </c>
      <c r="F218" s="95">
        <v>2.5499999999999998</v>
      </c>
      <c r="G218" s="95">
        <v>330.14</v>
      </c>
      <c r="H218" s="96">
        <v>3229.72</v>
      </c>
      <c r="I218" s="96">
        <v>1702.19</v>
      </c>
      <c r="J218" s="96">
        <v>14.56</v>
      </c>
      <c r="K218" s="96">
        <v>1512.97</v>
      </c>
      <c r="L218" s="357">
        <v>6.9736790965819528</v>
      </c>
      <c r="M218" s="357">
        <v>13.05</v>
      </c>
      <c r="N218" s="357">
        <v>5.7098039215686285</v>
      </c>
      <c r="O218" s="357">
        <v>4.5828133519113106</v>
      </c>
      <c r="P218" s="97"/>
      <c r="Q218" s="97"/>
      <c r="R218" s="97">
        <v>20</v>
      </c>
    </row>
    <row r="219" spans="1:18" ht="24">
      <c r="A219" s="93">
        <v>53.95</v>
      </c>
      <c r="B219" s="86" t="s">
        <v>375</v>
      </c>
      <c r="C219" s="94" t="s">
        <v>376</v>
      </c>
      <c r="D219" s="95">
        <v>457.8</v>
      </c>
      <c r="E219" s="95">
        <v>125.86</v>
      </c>
      <c r="F219" s="95">
        <v>1.8</v>
      </c>
      <c r="G219" s="95">
        <v>330.14</v>
      </c>
      <c r="H219" s="96">
        <v>3165.39</v>
      </c>
      <c r="I219" s="96">
        <v>1642.49</v>
      </c>
      <c r="J219" s="96">
        <v>9.93</v>
      </c>
      <c r="K219" s="96">
        <v>1512.97</v>
      </c>
      <c r="L219" s="357">
        <v>6.9143512450851894</v>
      </c>
      <c r="M219" s="357">
        <v>13.05</v>
      </c>
      <c r="N219" s="357">
        <v>5.5166666666666666</v>
      </c>
      <c r="O219" s="357">
        <v>4.5828133519113106</v>
      </c>
      <c r="P219" s="97"/>
      <c r="Q219" s="97"/>
      <c r="R219" s="97">
        <v>20</v>
      </c>
    </row>
    <row r="220" spans="1:18" ht="24">
      <c r="A220" s="93">
        <v>53.96</v>
      </c>
      <c r="B220" s="86" t="s">
        <v>377</v>
      </c>
      <c r="C220" s="94" t="s">
        <v>378</v>
      </c>
      <c r="D220" s="95">
        <v>2140.2399999999998</v>
      </c>
      <c r="E220" s="95">
        <v>92.36</v>
      </c>
      <c r="F220" s="95">
        <v>1717.74</v>
      </c>
      <c r="G220" s="95">
        <v>330.14</v>
      </c>
      <c r="H220" s="96">
        <v>11001.28</v>
      </c>
      <c r="I220" s="96">
        <v>1205.27</v>
      </c>
      <c r="J220" s="96">
        <v>8283.0400000000009</v>
      </c>
      <c r="K220" s="96">
        <v>1512.97</v>
      </c>
      <c r="L220" s="357">
        <v>5.1402085747392823</v>
      </c>
      <c r="M220" s="357">
        <v>13.05</v>
      </c>
      <c r="N220" s="357">
        <v>4.8220568887025985</v>
      </c>
      <c r="O220" s="357">
        <v>4.5828133519113106</v>
      </c>
      <c r="P220" s="97"/>
      <c r="Q220" s="97"/>
      <c r="R220" s="97">
        <v>20</v>
      </c>
    </row>
    <row r="221" spans="1:18" ht="24">
      <c r="A221" s="93">
        <v>53.97</v>
      </c>
      <c r="B221" s="86" t="s">
        <v>379</v>
      </c>
      <c r="C221" s="94" t="s">
        <v>380</v>
      </c>
      <c r="D221" s="95">
        <v>2136.5100000000002</v>
      </c>
      <c r="E221" s="95">
        <v>89.39</v>
      </c>
      <c r="F221" s="95">
        <v>1716.98</v>
      </c>
      <c r="G221" s="95">
        <v>330.14</v>
      </c>
      <c r="H221" s="96">
        <v>10957.91</v>
      </c>
      <c r="I221" s="96">
        <v>1166.53</v>
      </c>
      <c r="J221" s="96">
        <v>8278.41</v>
      </c>
      <c r="K221" s="96">
        <v>1512.97</v>
      </c>
      <c r="L221" s="357">
        <v>5.1288830850311955</v>
      </c>
      <c r="M221" s="357">
        <v>13.05</v>
      </c>
      <c r="N221" s="357">
        <v>4.8214947174690446</v>
      </c>
      <c r="O221" s="357">
        <v>4.5828133519113106</v>
      </c>
      <c r="P221" s="97"/>
      <c r="Q221" s="97"/>
      <c r="R221" s="97">
        <v>20</v>
      </c>
    </row>
    <row r="222" spans="1:18" ht="24">
      <c r="A222" s="93">
        <v>53.98</v>
      </c>
      <c r="B222" s="86" t="s">
        <v>381</v>
      </c>
      <c r="C222" s="94" t="s">
        <v>382</v>
      </c>
      <c r="D222" s="95">
        <v>425.05</v>
      </c>
      <c r="E222" s="95">
        <v>92.36</v>
      </c>
      <c r="F222" s="95">
        <v>2.5499999999999998</v>
      </c>
      <c r="G222" s="95">
        <v>330.14</v>
      </c>
      <c r="H222" s="96">
        <v>2732.8</v>
      </c>
      <c r="I222" s="96">
        <v>1205.27</v>
      </c>
      <c r="J222" s="96">
        <v>14.56</v>
      </c>
      <c r="K222" s="96">
        <v>1512.97</v>
      </c>
      <c r="L222" s="357">
        <v>6.4293612516174568</v>
      </c>
      <c r="M222" s="357">
        <v>13.05</v>
      </c>
      <c r="N222" s="357">
        <v>5.7098039215686285</v>
      </c>
      <c r="O222" s="357">
        <v>4.5828133519113106</v>
      </c>
      <c r="P222" s="97"/>
      <c r="Q222" s="97"/>
      <c r="R222" s="97">
        <v>20</v>
      </c>
    </row>
    <row r="223" spans="1:18" ht="24">
      <c r="A223" s="93">
        <v>53.99</v>
      </c>
      <c r="B223" s="86" t="s">
        <v>383</v>
      </c>
      <c r="C223" s="94" t="s">
        <v>384</v>
      </c>
      <c r="D223" s="95">
        <v>421.33</v>
      </c>
      <c r="E223" s="95">
        <v>89.39</v>
      </c>
      <c r="F223" s="95">
        <v>1.8</v>
      </c>
      <c r="G223" s="95">
        <v>330.14</v>
      </c>
      <c r="H223" s="96">
        <v>2689.43</v>
      </c>
      <c r="I223" s="96">
        <v>1166.53</v>
      </c>
      <c r="J223" s="96">
        <v>9.93</v>
      </c>
      <c r="K223" s="96">
        <v>1512.97</v>
      </c>
      <c r="L223" s="357">
        <v>6.3831913227161605</v>
      </c>
      <c r="M223" s="357">
        <v>13.05</v>
      </c>
      <c r="N223" s="357">
        <v>5.5166666666666666</v>
      </c>
      <c r="O223" s="357">
        <v>4.5828133519113106</v>
      </c>
      <c r="P223" s="97"/>
      <c r="Q223" s="97"/>
      <c r="R223" s="97">
        <v>20</v>
      </c>
    </row>
    <row r="224" spans="1:18" ht="24">
      <c r="A224" s="93">
        <v>53.1</v>
      </c>
      <c r="B224" s="86" t="s">
        <v>385</v>
      </c>
      <c r="C224" s="94" t="s">
        <v>386</v>
      </c>
      <c r="D224" s="95">
        <v>877.28</v>
      </c>
      <c r="E224" s="95">
        <v>92.36</v>
      </c>
      <c r="F224" s="95">
        <v>454.78</v>
      </c>
      <c r="G224" s="95">
        <v>330.14</v>
      </c>
      <c r="H224" s="96">
        <v>4619.7</v>
      </c>
      <c r="I224" s="96">
        <v>1205.27</v>
      </c>
      <c r="J224" s="96">
        <v>1901.46</v>
      </c>
      <c r="K224" s="96">
        <v>1512.97</v>
      </c>
      <c r="L224" s="357">
        <v>5.2659356191865765</v>
      </c>
      <c r="M224" s="357">
        <v>13.05</v>
      </c>
      <c r="N224" s="357">
        <v>4.1810545758388677</v>
      </c>
      <c r="O224" s="357">
        <v>4.5828133519113106</v>
      </c>
      <c r="P224" s="97"/>
      <c r="Q224" s="97"/>
      <c r="R224" s="97">
        <v>20</v>
      </c>
    </row>
    <row r="225" spans="1:18" ht="24">
      <c r="A225" s="93">
        <v>53.100999999999999</v>
      </c>
      <c r="B225" s="86" t="s">
        <v>387</v>
      </c>
      <c r="C225" s="94" t="s">
        <v>388</v>
      </c>
      <c r="D225" s="95">
        <v>873.56</v>
      </c>
      <c r="E225" s="95">
        <v>89.39</v>
      </c>
      <c r="F225" s="95">
        <v>454.03</v>
      </c>
      <c r="G225" s="95">
        <v>330.14</v>
      </c>
      <c r="H225" s="96">
        <v>4576.33</v>
      </c>
      <c r="I225" s="96">
        <v>1166.53</v>
      </c>
      <c r="J225" s="96">
        <v>1896.83</v>
      </c>
      <c r="K225" s="96">
        <v>1512.97</v>
      </c>
      <c r="L225" s="357">
        <v>5.2387128531526175</v>
      </c>
      <c r="M225" s="357">
        <v>13.05</v>
      </c>
      <c r="N225" s="357">
        <v>4.1777635839041478</v>
      </c>
      <c r="O225" s="357">
        <v>4.5828133519113106</v>
      </c>
      <c r="P225" s="97"/>
      <c r="Q225" s="97"/>
      <c r="R225" s="97">
        <v>20</v>
      </c>
    </row>
    <row r="226" spans="1:18" ht="48">
      <c r="A226" s="98">
        <v>53.101999999999997</v>
      </c>
      <c r="B226" s="99" t="s">
        <v>389</v>
      </c>
      <c r="C226" s="100" t="s">
        <v>390</v>
      </c>
      <c r="D226" s="101">
        <v>3211.77</v>
      </c>
      <c r="E226" s="101">
        <v>525.20000000000005</v>
      </c>
      <c r="F226" s="101">
        <v>1945.79</v>
      </c>
      <c r="G226" s="101">
        <v>740.78</v>
      </c>
      <c r="H226" s="102">
        <v>18506.669999999998</v>
      </c>
      <c r="I226" s="102">
        <v>6853.74</v>
      </c>
      <c r="J226" s="102">
        <v>8175.13</v>
      </c>
      <c r="K226" s="102">
        <v>3477.8</v>
      </c>
      <c r="L226" s="356">
        <v>5.7621405019662051</v>
      </c>
      <c r="M226" s="356">
        <v>13.05</v>
      </c>
      <c r="N226" s="356">
        <v>4.2014451713699836</v>
      </c>
      <c r="O226" s="356">
        <v>4.6947811765976404</v>
      </c>
      <c r="P226" s="103"/>
      <c r="Q226" s="103"/>
      <c r="R226" s="103">
        <v>20</v>
      </c>
    </row>
    <row r="227" spans="1:18" ht="12.75">
      <c r="A227" s="428" t="s">
        <v>391</v>
      </c>
      <c r="B227" s="429"/>
      <c r="C227" s="429"/>
      <c r="D227" s="429"/>
      <c r="E227" s="429"/>
      <c r="F227" s="429"/>
      <c r="G227" s="429"/>
      <c r="H227" s="429"/>
      <c r="I227" s="429"/>
      <c r="J227" s="429"/>
      <c r="K227" s="429"/>
      <c r="L227" s="429"/>
      <c r="M227" s="429"/>
      <c r="N227" s="429"/>
      <c r="O227" s="429"/>
      <c r="P227" s="429"/>
      <c r="Q227" s="429"/>
      <c r="R227" s="429"/>
    </row>
    <row r="228" spans="1:18" ht="24">
      <c r="A228" s="98">
        <v>53.103000000000002</v>
      </c>
      <c r="B228" s="99" t="s">
        <v>392</v>
      </c>
      <c r="C228" s="100" t="s">
        <v>393</v>
      </c>
      <c r="D228" s="101">
        <v>1118</v>
      </c>
      <c r="E228" s="101">
        <v>747.68</v>
      </c>
      <c r="F228" s="101">
        <v>14.69</v>
      </c>
      <c r="G228" s="101">
        <v>355.63</v>
      </c>
      <c r="H228" s="102">
        <v>11482.34</v>
      </c>
      <c r="I228" s="102">
        <v>9757.0400000000009</v>
      </c>
      <c r="J228" s="102">
        <v>74.290000000000006</v>
      </c>
      <c r="K228" s="102">
        <v>1651.01</v>
      </c>
      <c r="L228" s="356">
        <v>10.270429338103757</v>
      </c>
      <c r="M228" s="356">
        <v>13.05</v>
      </c>
      <c r="N228" s="356">
        <v>5.0571817562968011</v>
      </c>
      <c r="O228" s="356">
        <v>4.6424936029018928</v>
      </c>
      <c r="P228" s="103"/>
      <c r="Q228" s="103"/>
      <c r="R228" s="103">
        <v>21</v>
      </c>
    </row>
    <row r="229" spans="1:18" ht="12.75">
      <c r="A229" s="428" t="s">
        <v>394</v>
      </c>
      <c r="B229" s="429"/>
      <c r="C229" s="429"/>
      <c r="D229" s="429"/>
      <c r="E229" s="429"/>
      <c r="F229" s="429"/>
      <c r="G229" s="429"/>
      <c r="H229" s="429"/>
      <c r="I229" s="429"/>
      <c r="J229" s="429"/>
      <c r="K229" s="429"/>
      <c r="L229" s="429"/>
      <c r="M229" s="429"/>
      <c r="N229" s="429"/>
      <c r="O229" s="429"/>
      <c r="P229" s="429"/>
      <c r="Q229" s="429"/>
      <c r="R229" s="429"/>
    </row>
    <row r="230" spans="1:18" ht="24">
      <c r="A230" s="93">
        <v>53.103999999999999</v>
      </c>
      <c r="B230" s="86" t="s">
        <v>395</v>
      </c>
      <c r="C230" s="94" t="s">
        <v>396</v>
      </c>
      <c r="D230" s="95">
        <v>130.34</v>
      </c>
      <c r="E230" s="95">
        <v>35.159999999999997</v>
      </c>
      <c r="F230" s="95">
        <v>1.05</v>
      </c>
      <c r="G230" s="95">
        <v>94.13</v>
      </c>
      <c r="H230" s="96">
        <v>981.11</v>
      </c>
      <c r="I230" s="96">
        <v>458.78</v>
      </c>
      <c r="J230" s="96">
        <v>4.3099999999999996</v>
      </c>
      <c r="K230" s="96">
        <v>518.02</v>
      </c>
      <c r="L230" s="357">
        <v>7.5273131809114622</v>
      </c>
      <c r="M230" s="357">
        <v>13.05</v>
      </c>
      <c r="N230" s="357">
        <v>4.1047619047619044</v>
      </c>
      <c r="O230" s="357">
        <v>5.5032401997237868</v>
      </c>
      <c r="P230" s="97"/>
      <c r="Q230" s="97"/>
      <c r="R230" s="97">
        <v>22</v>
      </c>
    </row>
    <row r="231" spans="1:18" ht="24">
      <c r="A231" s="93">
        <v>53.104999999999997</v>
      </c>
      <c r="B231" s="86" t="s">
        <v>397</v>
      </c>
      <c r="C231" s="94" t="s">
        <v>398</v>
      </c>
      <c r="D231" s="95">
        <v>240.87</v>
      </c>
      <c r="E231" s="95">
        <v>64.81</v>
      </c>
      <c r="F231" s="95">
        <v>2.1</v>
      </c>
      <c r="G231" s="95">
        <v>173.96</v>
      </c>
      <c r="H231" s="96">
        <v>1806.68</v>
      </c>
      <c r="I231" s="96">
        <v>845.75</v>
      </c>
      <c r="J231" s="96">
        <v>8.6300000000000008</v>
      </c>
      <c r="K231" s="96">
        <v>952.3</v>
      </c>
      <c r="L231" s="357">
        <v>7.500643500643501</v>
      </c>
      <c r="M231" s="357">
        <v>13.05</v>
      </c>
      <c r="N231" s="357">
        <v>4.10952380952381</v>
      </c>
      <c r="O231" s="357">
        <v>5.4742469533226021</v>
      </c>
      <c r="P231" s="97"/>
      <c r="Q231" s="97"/>
      <c r="R231" s="97">
        <v>22</v>
      </c>
    </row>
    <row r="232" spans="1:18" ht="24">
      <c r="A232" s="98">
        <v>53.106000000000002</v>
      </c>
      <c r="B232" s="99" t="s">
        <v>399</v>
      </c>
      <c r="C232" s="100" t="s">
        <v>400</v>
      </c>
      <c r="D232" s="101">
        <v>2640.46</v>
      </c>
      <c r="E232" s="101">
        <v>437.57</v>
      </c>
      <c r="F232" s="101">
        <v>28.39</v>
      </c>
      <c r="G232" s="101">
        <v>2174.5</v>
      </c>
      <c r="H232" s="102">
        <v>22178.46</v>
      </c>
      <c r="I232" s="102">
        <v>5710.43</v>
      </c>
      <c r="J232" s="102">
        <v>116.45</v>
      </c>
      <c r="K232" s="102">
        <v>16351.58</v>
      </c>
      <c r="L232" s="356">
        <v>8.3994682744673277</v>
      </c>
      <c r="M232" s="356">
        <v>13.05</v>
      </c>
      <c r="N232" s="356">
        <v>4.1017964071856285</v>
      </c>
      <c r="O232" s="356">
        <v>7.5196964819498735</v>
      </c>
      <c r="P232" s="103"/>
      <c r="Q232" s="103"/>
      <c r="R232" s="103">
        <v>22</v>
      </c>
    </row>
    <row r="233" spans="1:18" ht="12.75">
      <c r="A233" s="428" t="s">
        <v>401</v>
      </c>
      <c r="B233" s="429"/>
      <c r="C233" s="429"/>
      <c r="D233" s="429"/>
      <c r="E233" s="429"/>
      <c r="F233" s="429"/>
      <c r="G233" s="429"/>
      <c r="H233" s="429"/>
      <c r="I233" s="429"/>
      <c r="J233" s="429"/>
      <c r="K233" s="429"/>
      <c r="L233" s="429"/>
      <c r="M233" s="429"/>
      <c r="N233" s="429"/>
      <c r="O233" s="429"/>
      <c r="P233" s="429"/>
      <c r="Q233" s="429"/>
      <c r="R233" s="429"/>
    </row>
    <row r="234" spans="1:18" ht="48">
      <c r="A234" s="93">
        <v>53.106999999999999</v>
      </c>
      <c r="B234" s="86" t="s">
        <v>402</v>
      </c>
      <c r="C234" s="94" t="s">
        <v>403</v>
      </c>
      <c r="D234" s="95">
        <v>395.29</v>
      </c>
      <c r="E234" s="95">
        <v>131.16</v>
      </c>
      <c r="F234" s="95">
        <v>93.3</v>
      </c>
      <c r="G234" s="95">
        <v>170.83</v>
      </c>
      <c r="H234" s="96">
        <v>3149.35</v>
      </c>
      <c r="I234" s="96">
        <v>1711.67</v>
      </c>
      <c r="J234" s="96">
        <v>722.47</v>
      </c>
      <c r="K234" s="96">
        <v>715.21</v>
      </c>
      <c r="L234" s="357">
        <v>7.9671886463103032</v>
      </c>
      <c r="M234" s="357">
        <v>13.05</v>
      </c>
      <c r="N234" s="357">
        <v>7.7435155412647383</v>
      </c>
      <c r="O234" s="357">
        <v>4.1866768132061116</v>
      </c>
      <c r="P234" s="97"/>
      <c r="Q234" s="97"/>
      <c r="R234" s="97">
        <v>23</v>
      </c>
    </row>
    <row r="235" spans="1:18" ht="48">
      <c r="A235" s="93">
        <v>53.107999999999997</v>
      </c>
      <c r="B235" s="86" t="s">
        <v>404</v>
      </c>
      <c r="C235" s="94" t="s">
        <v>405</v>
      </c>
      <c r="D235" s="95">
        <v>431.26</v>
      </c>
      <c r="E235" s="95">
        <v>137.66999999999999</v>
      </c>
      <c r="F235" s="95">
        <v>93.51</v>
      </c>
      <c r="G235" s="95">
        <v>200.08</v>
      </c>
      <c r="H235" s="96">
        <v>3342.81</v>
      </c>
      <c r="I235" s="96">
        <v>1796.54</v>
      </c>
      <c r="J235" s="96">
        <v>723.92</v>
      </c>
      <c r="K235" s="96">
        <v>822.35</v>
      </c>
      <c r="L235" s="357">
        <v>7.7512637388118533</v>
      </c>
      <c r="M235" s="357">
        <v>13.05</v>
      </c>
      <c r="N235" s="357">
        <v>7.741631911025558</v>
      </c>
      <c r="O235" s="357">
        <v>4.1101059576169527</v>
      </c>
      <c r="P235" s="97"/>
      <c r="Q235" s="97"/>
      <c r="R235" s="97">
        <v>23</v>
      </c>
    </row>
    <row r="236" spans="1:18" ht="48">
      <c r="A236" s="93">
        <v>53.109000000000002</v>
      </c>
      <c r="B236" s="86" t="s">
        <v>406</v>
      </c>
      <c r="C236" s="94" t="s">
        <v>407</v>
      </c>
      <c r="D236" s="95">
        <v>531.21</v>
      </c>
      <c r="E236" s="95">
        <v>146.34</v>
      </c>
      <c r="F236" s="95">
        <v>126.33</v>
      </c>
      <c r="G236" s="95">
        <v>258.54000000000002</v>
      </c>
      <c r="H236" s="96">
        <v>3926.6</v>
      </c>
      <c r="I236" s="96">
        <v>1909.71</v>
      </c>
      <c r="J236" s="96">
        <v>980.43</v>
      </c>
      <c r="K236" s="96">
        <v>1036.46</v>
      </c>
      <c r="L236" s="357">
        <v>7.3918036181547784</v>
      </c>
      <c r="M236" s="357">
        <v>13.05</v>
      </c>
      <c r="N236" s="357">
        <v>7.7608644027546898</v>
      </c>
      <c r="O236" s="357">
        <v>4.0088961089193162</v>
      </c>
      <c r="P236" s="97"/>
      <c r="Q236" s="97"/>
      <c r="R236" s="97">
        <v>23</v>
      </c>
    </row>
    <row r="237" spans="1:18" ht="48">
      <c r="A237" s="93">
        <v>53.11</v>
      </c>
      <c r="B237" s="86" t="s">
        <v>408</v>
      </c>
      <c r="C237" s="94" t="s">
        <v>409</v>
      </c>
      <c r="D237" s="95">
        <v>562.80999999999995</v>
      </c>
      <c r="E237" s="95">
        <v>148.51</v>
      </c>
      <c r="F237" s="95">
        <v>126.52</v>
      </c>
      <c r="G237" s="95">
        <v>287.77999999999997</v>
      </c>
      <c r="H237" s="96">
        <v>4063.31</v>
      </c>
      <c r="I237" s="96">
        <v>1938</v>
      </c>
      <c r="J237" s="96">
        <v>981.72</v>
      </c>
      <c r="K237" s="96">
        <v>1143.5899999999999</v>
      </c>
      <c r="L237" s="357">
        <v>7.2196833744958342</v>
      </c>
      <c r="M237" s="357">
        <v>13.05</v>
      </c>
      <c r="N237" s="357">
        <v>7.7594056275687642</v>
      </c>
      <c r="O237" s="357">
        <v>3.9738341788866496</v>
      </c>
      <c r="P237" s="97"/>
      <c r="Q237" s="97"/>
      <c r="R237" s="97">
        <v>23</v>
      </c>
    </row>
    <row r="238" spans="1:18" ht="48">
      <c r="A238" s="93">
        <v>53.110999999999997</v>
      </c>
      <c r="B238" s="86" t="s">
        <v>410</v>
      </c>
      <c r="C238" s="94" t="s">
        <v>411</v>
      </c>
      <c r="D238" s="95">
        <v>613.94000000000005</v>
      </c>
      <c r="E238" s="95">
        <v>150.68</v>
      </c>
      <c r="F238" s="95">
        <v>146.24</v>
      </c>
      <c r="G238" s="95">
        <v>317.02</v>
      </c>
      <c r="H238" s="96">
        <v>4352.71</v>
      </c>
      <c r="I238" s="96">
        <v>1966.29</v>
      </c>
      <c r="J238" s="96">
        <v>1135.7</v>
      </c>
      <c r="K238" s="96">
        <v>1250.72</v>
      </c>
      <c r="L238" s="357">
        <v>7.0897970485715209</v>
      </c>
      <c r="M238" s="357">
        <v>13.05</v>
      </c>
      <c r="N238" s="357">
        <v>7.7660010940919033</v>
      </c>
      <c r="O238" s="357">
        <v>3.945240047946502</v>
      </c>
      <c r="P238" s="97"/>
      <c r="Q238" s="97"/>
      <c r="R238" s="97">
        <v>23</v>
      </c>
    </row>
    <row r="239" spans="1:18" ht="48">
      <c r="A239" s="98">
        <v>53.112000000000002</v>
      </c>
      <c r="B239" s="99" t="s">
        <v>412</v>
      </c>
      <c r="C239" s="100" t="s">
        <v>413</v>
      </c>
      <c r="D239" s="101">
        <v>646.72</v>
      </c>
      <c r="E239" s="101">
        <v>153.93</v>
      </c>
      <c r="F239" s="101">
        <v>146.53</v>
      </c>
      <c r="G239" s="101">
        <v>346.26</v>
      </c>
      <c r="H239" s="102">
        <v>4504.2299999999996</v>
      </c>
      <c r="I239" s="102">
        <v>2008.73</v>
      </c>
      <c r="J239" s="102">
        <v>1137.6400000000001</v>
      </c>
      <c r="K239" s="102">
        <v>1357.86</v>
      </c>
      <c r="L239" s="356">
        <v>6.9647297130133587</v>
      </c>
      <c r="M239" s="356">
        <v>13.05</v>
      </c>
      <c r="N239" s="356">
        <v>7.763870879683342</v>
      </c>
      <c r="O239" s="356">
        <v>3.9215040720845606</v>
      </c>
      <c r="P239" s="103"/>
      <c r="Q239" s="103"/>
      <c r="R239" s="103">
        <v>23</v>
      </c>
    </row>
    <row r="240" spans="1:18" ht="12.75">
      <c r="A240" s="428" t="s">
        <v>414</v>
      </c>
      <c r="B240" s="429"/>
      <c r="C240" s="429"/>
      <c r="D240" s="429"/>
      <c r="E240" s="429"/>
      <c r="F240" s="429"/>
      <c r="G240" s="429"/>
      <c r="H240" s="429"/>
      <c r="I240" s="429"/>
      <c r="J240" s="429"/>
      <c r="K240" s="429"/>
      <c r="L240" s="429"/>
      <c r="M240" s="429"/>
      <c r="N240" s="429"/>
      <c r="O240" s="429"/>
      <c r="P240" s="429"/>
      <c r="Q240" s="429"/>
      <c r="R240" s="429"/>
    </row>
    <row r="241" spans="1:18" ht="24">
      <c r="A241" s="93">
        <v>53.113</v>
      </c>
      <c r="B241" s="86" t="s">
        <v>415</v>
      </c>
      <c r="C241" s="94" t="s">
        <v>416</v>
      </c>
      <c r="D241" s="95">
        <v>12928.71</v>
      </c>
      <c r="E241" s="95">
        <v>1711.88</v>
      </c>
      <c r="F241" s="95">
        <v>76.680000000000007</v>
      </c>
      <c r="G241" s="95">
        <v>11140.15</v>
      </c>
      <c r="H241" s="96">
        <v>92749.83</v>
      </c>
      <c r="I241" s="96">
        <v>22340.720000000001</v>
      </c>
      <c r="J241" s="96">
        <v>538.36</v>
      </c>
      <c r="K241" s="96">
        <v>69870.75</v>
      </c>
      <c r="L241" s="357">
        <v>7.1739431080130966</v>
      </c>
      <c r="M241" s="357">
        <v>13.05</v>
      </c>
      <c r="N241" s="357">
        <v>7.0208659363588932</v>
      </c>
      <c r="O241" s="357">
        <v>6.2719756915301863</v>
      </c>
      <c r="P241" s="97"/>
      <c r="Q241" s="97"/>
      <c r="R241" s="97">
        <v>24</v>
      </c>
    </row>
    <row r="242" spans="1:18" ht="12.75">
      <c r="A242" s="84"/>
      <c r="B242" s="90"/>
      <c r="C242" s="89"/>
      <c r="D242" s="91"/>
      <c r="E242" s="91"/>
      <c r="F242" s="91"/>
      <c r="G242" s="91"/>
      <c r="H242" s="92"/>
      <c r="I242" s="92"/>
      <c r="J242" s="92"/>
      <c r="K242" s="92"/>
      <c r="L242" s="355"/>
      <c r="M242" s="355"/>
      <c r="N242" s="355"/>
      <c r="O242" s="354"/>
      <c r="P242" s="83"/>
      <c r="Q242" s="83"/>
      <c r="R242" s="83"/>
    </row>
    <row r="243" spans="1:18">
      <c r="A243" s="64"/>
      <c r="B243" s="67"/>
      <c r="C243" s="64"/>
      <c r="D243" s="64"/>
      <c r="E243" s="64"/>
      <c r="F243" s="64"/>
      <c r="G243" s="64"/>
      <c r="H243" s="66"/>
      <c r="I243" s="66"/>
      <c r="J243" s="66"/>
      <c r="K243" s="66"/>
      <c r="O243" s="353"/>
      <c r="P243" s="64"/>
      <c r="Q243" s="64"/>
      <c r="R243" s="64"/>
    </row>
    <row r="244" spans="1:18">
      <c r="O244" s="353"/>
    </row>
    <row r="245" spans="1:18">
      <c r="O245" s="352"/>
    </row>
    <row r="246" spans="1:18" ht="23.25">
      <c r="A246" s="61"/>
      <c r="B246" s="60"/>
      <c r="C246" s="45" t="s">
        <v>417</v>
      </c>
      <c r="D246" s="45"/>
      <c r="E246" s="45"/>
      <c r="F246" s="45"/>
      <c r="G246" s="45"/>
      <c r="H246" s="58"/>
      <c r="I246" s="58"/>
      <c r="J246" s="58"/>
      <c r="K246" s="58"/>
      <c r="L246" s="351"/>
      <c r="M246" s="351"/>
      <c r="N246" s="351"/>
      <c r="O246" s="350"/>
    </row>
    <row r="247" spans="1:18" ht="12.75">
      <c r="A247" s="428" t="s">
        <v>418</v>
      </c>
      <c r="B247" s="429"/>
      <c r="C247" s="429"/>
      <c r="D247" s="429"/>
      <c r="E247" s="429"/>
      <c r="F247" s="429"/>
      <c r="G247" s="429"/>
      <c r="H247" s="429"/>
      <c r="I247" s="429"/>
      <c r="J247" s="429"/>
      <c r="K247" s="429"/>
      <c r="L247" s="429"/>
      <c r="M247" s="429"/>
      <c r="N247" s="429"/>
      <c r="O247" s="429"/>
      <c r="P247" s="429"/>
      <c r="Q247" s="429"/>
      <c r="R247" s="429"/>
    </row>
    <row r="248" spans="1:18" ht="36">
      <c r="A248" s="119">
        <v>54.1</v>
      </c>
      <c r="B248" s="120" t="s">
        <v>419</v>
      </c>
      <c r="C248" s="121" t="s">
        <v>420</v>
      </c>
      <c r="D248" s="122">
        <v>5374.71</v>
      </c>
      <c r="E248" s="122">
        <v>2055.44</v>
      </c>
      <c r="F248" s="122">
        <v>3319.27</v>
      </c>
      <c r="G248" s="122"/>
      <c r="H248" s="123">
        <v>54228.82</v>
      </c>
      <c r="I248" s="123">
        <v>26822.51</v>
      </c>
      <c r="J248" s="123">
        <v>27406.31</v>
      </c>
      <c r="K248" s="123"/>
      <c r="L248" s="356">
        <v>10.089627161279399</v>
      </c>
      <c r="M248" s="356">
        <v>13.05</v>
      </c>
      <c r="N248" s="356">
        <v>8.2567281360058082</v>
      </c>
      <c r="O248" s="356" t="s">
        <v>135</v>
      </c>
      <c r="P248" s="124"/>
      <c r="Q248" s="124"/>
      <c r="R248" s="124">
        <v>1</v>
      </c>
    </row>
    <row r="249" spans="1:18" ht="12.75">
      <c r="A249" s="428" t="s">
        <v>421</v>
      </c>
      <c r="B249" s="429"/>
      <c r="C249" s="429"/>
      <c r="D249" s="429"/>
      <c r="E249" s="429"/>
      <c r="F249" s="429"/>
      <c r="G249" s="429"/>
      <c r="H249" s="429"/>
      <c r="I249" s="429"/>
      <c r="J249" s="429"/>
      <c r="K249" s="429"/>
      <c r="L249" s="429"/>
      <c r="M249" s="429"/>
      <c r="N249" s="429"/>
      <c r="O249" s="429"/>
      <c r="P249" s="429"/>
      <c r="Q249" s="429"/>
      <c r="R249" s="429"/>
    </row>
    <row r="250" spans="1:18">
      <c r="A250" s="119">
        <v>54.2</v>
      </c>
      <c r="B250" s="120" t="s">
        <v>422</v>
      </c>
      <c r="C250" s="121" t="s">
        <v>423</v>
      </c>
      <c r="D250" s="122">
        <v>131.26</v>
      </c>
      <c r="E250" s="122">
        <v>16.309999999999999</v>
      </c>
      <c r="F250" s="122">
        <v>114.95</v>
      </c>
      <c r="G250" s="122"/>
      <c r="H250" s="123">
        <v>1329.14</v>
      </c>
      <c r="I250" s="123">
        <v>212.79</v>
      </c>
      <c r="J250" s="123">
        <v>1116.3499999999999</v>
      </c>
      <c r="K250" s="123"/>
      <c r="L250" s="356">
        <v>10.126009446899285</v>
      </c>
      <c r="M250" s="356">
        <v>13.05</v>
      </c>
      <c r="N250" s="356">
        <v>9.7116137451065665</v>
      </c>
      <c r="O250" s="356" t="s">
        <v>135</v>
      </c>
      <c r="P250" s="124"/>
      <c r="Q250" s="124"/>
      <c r="R250" s="124">
        <v>2</v>
      </c>
    </row>
    <row r="251" spans="1:18" ht="12.75">
      <c r="A251" s="428" t="s">
        <v>424</v>
      </c>
      <c r="B251" s="429"/>
      <c r="C251" s="429"/>
      <c r="D251" s="429"/>
      <c r="E251" s="429"/>
      <c r="F251" s="429"/>
      <c r="G251" s="429"/>
      <c r="H251" s="429"/>
      <c r="I251" s="429"/>
      <c r="J251" s="429"/>
      <c r="K251" s="429"/>
      <c r="L251" s="429"/>
      <c r="M251" s="429"/>
      <c r="N251" s="429"/>
      <c r="O251" s="429"/>
      <c r="P251" s="429"/>
      <c r="Q251" s="429"/>
      <c r="R251" s="429"/>
    </row>
    <row r="252" spans="1:18" ht="24">
      <c r="A252" s="114">
        <v>54.3</v>
      </c>
      <c r="B252" s="107" t="s">
        <v>425</v>
      </c>
      <c r="C252" s="115" t="s">
        <v>426</v>
      </c>
      <c r="D252" s="116">
        <v>289.99</v>
      </c>
      <c r="E252" s="116">
        <v>260.7</v>
      </c>
      <c r="F252" s="116">
        <v>29.29</v>
      </c>
      <c r="G252" s="116"/>
      <c r="H252" s="117">
        <v>3624.36</v>
      </c>
      <c r="I252" s="117">
        <v>3402.04</v>
      </c>
      <c r="J252" s="117">
        <v>222.32</v>
      </c>
      <c r="K252" s="117"/>
      <c r="L252" s="357">
        <v>12.498224076692299</v>
      </c>
      <c r="M252" s="357">
        <v>13.05</v>
      </c>
      <c r="N252" s="357">
        <v>7.5903038579720041</v>
      </c>
      <c r="O252" s="357" t="s">
        <v>135</v>
      </c>
      <c r="P252" s="118"/>
      <c r="Q252" s="118"/>
      <c r="R252" s="118">
        <v>3</v>
      </c>
    </row>
    <row r="253" spans="1:18">
      <c r="A253" s="114">
        <v>54.4</v>
      </c>
      <c r="B253" s="107" t="s">
        <v>427</v>
      </c>
      <c r="C253" s="115" t="s">
        <v>428</v>
      </c>
      <c r="D253" s="116">
        <v>141.13</v>
      </c>
      <c r="E253" s="116">
        <v>137.84</v>
      </c>
      <c r="F253" s="116">
        <v>3.29</v>
      </c>
      <c r="G253" s="116"/>
      <c r="H253" s="117">
        <v>1823.92</v>
      </c>
      <c r="I253" s="117">
        <v>1798.91</v>
      </c>
      <c r="J253" s="117">
        <v>25.01</v>
      </c>
      <c r="K253" s="117"/>
      <c r="L253" s="357">
        <v>12.923687380429392</v>
      </c>
      <c r="M253" s="357">
        <v>13.05</v>
      </c>
      <c r="N253" s="357">
        <v>7.6018237082066875</v>
      </c>
      <c r="O253" s="357" t="s">
        <v>135</v>
      </c>
      <c r="P253" s="118"/>
      <c r="Q253" s="118"/>
      <c r="R253" s="118">
        <v>3</v>
      </c>
    </row>
    <row r="254" spans="1:18">
      <c r="A254" s="119">
        <v>54.5</v>
      </c>
      <c r="B254" s="120" t="s">
        <v>429</v>
      </c>
      <c r="C254" s="121" t="s">
        <v>430</v>
      </c>
      <c r="D254" s="122">
        <v>936.49</v>
      </c>
      <c r="E254" s="122">
        <v>800.3</v>
      </c>
      <c r="F254" s="122">
        <v>136.19</v>
      </c>
      <c r="G254" s="122"/>
      <c r="H254" s="123">
        <v>11477.59</v>
      </c>
      <c r="I254" s="123">
        <v>10443.799999999999</v>
      </c>
      <c r="J254" s="123">
        <v>1033.79</v>
      </c>
      <c r="K254" s="123"/>
      <c r="L254" s="356">
        <v>12.255966427831584</v>
      </c>
      <c r="M254" s="356">
        <v>13.05</v>
      </c>
      <c r="N254" s="356">
        <v>7.590792275497467</v>
      </c>
      <c r="O254" s="356" t="s">
        <v>135</v>
      </c>
      <c r="P254" s="124"/>
      <c r="Q254" s="124"/>
      <c r="R254" s="124">
        <v>3</v>
      </c>
    </row>
    <row r="255" spans="1:18" ht="12.75">
      <c r="A255" s="428" t="s">
        <v>431</v>
      </c>
      <c r="B255" s="429"/>
      <c r="C255" s="429"/>
      <c r="D255" s="429"/>
      <c r="E255" s="429"/>
      <c r="F255" s="429"/>
      <c r="G255" s="429"/>
      <c r="H255" s="429"/>
      <c r="I255" s="429"/>
      <c r="J255" s="429"/>
      <c r="K255" s="429"/>
      <c r="L255" s="429"/>
      <c r="M255" s="429"/>
      <c r="N255" s="429"/>
      <c r="O255" s="429"/>
      <c r="P255" s="429"/>
      <c r="Q255" s="429"/>
      <c r="R255" s="429"/>
    </row>
    <row r="256" spans="1:18">
      <c r="A256" s="114">
        <v>54.6</v>
      </c>
      <c r="B256" s="107" t="s">
        <v>432</v>
      </c>
      <c r="C256" s="115" t="s">
        <v>433</v>
      </c>
      <c r="D256" s="116">
        <v>38041.730000000003</v>
      </c>
      <c r="E256" s="116">
        <v>9673.51</v>
      </c>
      <c r="F256" s="116">
        <v>2795.91</v>
      </c>
      <c r="G256" s="116">
        <v>25572.31</v>
      </c>
      <c r="H256" s="117">
        <v>250784</v>
      </c>
      <c r="I256" s="117">
        <v>126240.16</v>
      </c>
      <c r="J256" s="117">
        <v>21857.68</v>
      </c>
      <c r="K256" s="117">
        <v>102686.16</v>
      </c>
      <c r="L256" s="357">
        <v>6.5923395176822916</v>
      </c>
      <c r="M256" s="357">
        <v>13.05</v>
      </c>
      <c r="N256" s="357">
        <v>7.8177337611010378</v>
      </c>
      <c r="O256" s="357">
        <v>4.015521476159174</v>
      </c>
      <c r="P256" s="118"/>
      <c r="Q256" s="118"/>
      <c r="R256" s="118">
        <v>4</v>
      </c>
    </row>
    <row r="257" spans="1:18" ht="24">
      <c r="A257" s="114">
        <v>54.7</v>
      </c>
      <c r="B257" s="107" t="s">
        <v>434</v>
      </c>
      <c r="C257" s="115" t="s">
        <v>435</v>
      </c>
      <c r="D257" s="116">
        <v>1014.07</v>
      </c>
      <c r="E257" s="116">
        <v>237.65</v>
      </c>
      <c r="F257" s="116">
        <v>10.49</v>
      </c>
      <c r="G257" s="116">
        <v>765.93</v>
      </c>
      <c r="H257" s="117">
        <v>5864.71</v>
      </c>
      <c r="I257" s="117">
        <v>3101.5</v>
      </c>
      <c r="J257" s="117">
        <v>53.07</v>
      </c>
      <c r="K257" s="117">
        <v>2710.14</v>
      </c>
      <c r="L257" s="357">
        <v>5.7833384283136269</v>
      </c>
      <c r="M257" s="357">
        <v>13.05</v>
      </c>
      <c r="N257" s="357">
        <v>5.0591039084842704</v>
      </c>
      <c r="O257" s="357">
        <v>3.5383651247503036</v>
      </c>
      <c r="P257" s="118"/>
      <c r="Q257" s="118"/>
      <c r="R257" s="118">
        <v>4</v>
      </c>
    </row>
    <row r="258" spans="1:18">
      <c r="A258" s="119">
        <v>54.8</v>
      </c>
      <c r="B258" s="120" t="s">
        <v>436</v>
      </c>
      <c r="C258" s="121" t="s">
        <v>437</v>
      </c>
      <c r="D258" s="122">
        <v>2227.1</v>
      </c>
      <c r="E258" s="122">
        <v>697.71</v>
      </c>
      <c r="F258" s="122">
        <v>158.4</v>
      </c>
      <c r="G258" s="122">
        <v>1370.99</v>
      </c>
      <c r="H258" s="123">
        <v>15385.66</v>
      </c>
      <c r="I258" s="123">
        <v>9105.14</v>
      </c>
      <c r="J258" s="123">
        <v>801.28</v>
      </c>
      <c r="K258" s="123">
        <v>5479.24</v>
      </c>
      <c r="L258" s="356">
        <v>6.9083830990974811</v>
      </c>
      <c r="M258" s="356">
        <v>13.05</v>
      </c>
      <c r="N258" s="356">
        <v>5.0585858585858583</v>
      </c>
      <c r="O258" s="356">
        <v>3.9965572323649332</v>
      </c>
      <c r="P258" s="124"/>
      <c r="Q258" s="124"/>
      <c r="R258" s="124">
        <v>4</v>
      </c>
    </row>
    <row r="259" spans="1:18" ht="12.75">
      <c r="A259" s="428" t="s">
        <v>438</v>
      </c>
      <c r="B259" s="429"/>
      <c r="C259" s="429"/>
      <c r="D259" s="429"/>
      <c r="E259" s="429"/>
      <c r="F259" s="429"/>
      <c r="G259" s="429"/>
      <c r="H259" s="429"/>
      <c r="I259" s="429"/>
      <c r="J259" s="429"/>
      <c r="K259" s="429"/>
      <c r="L259" s="429"/>
      <c r="M259" s="429"/>
      <c r="N259" s="429"/>
      <c r="O259" s="429"/>
      <c r="P259" s="429"/>
      <c r="Q259" s="429"/>
      <c r="R259" s="429"/>
    </row>
    <row r="260" spans="1:18" ht="24">
      <c r="A260" s="114">
        <v>54.9</v>
      </c>
      <c r="B260" s="107" t="s">
        <v>439</v>
      </c>
      <c r="C260" s="115" t="s">
        <v>440</v>
      </c>
      <c r="D260" s="116">
        <v>8895.59</v>
      </c>
      <c r="E260" s="116">
        <v>1789.19</v>
      </c>
      <c r="F260" s="116">
        <v>183.58</v>
      </c>
      <c r="G260" s="116">
        <v>6922.82</v>
      </c>
      <c r="H260" s="117">
        <v>49708.69</v>
      </c>
      <c r="I260" s="117">
        <v>23349.53</v>
      </c>
      <c r="J260" s="117">
        <v>928.64</v>
      </c>
      <c r="K260" s="117">
        <v>25430.52</v>
      </c>
      <c r="L260" s="357">
        <v>5.5880149602218632</v>
      </c>
      <c r="M260" s="357">
        <v>13.05</v>
      </c>
      <c r="N260" s="357">
        <v>5.0585031049133891</v>
      </c>
      <c r="O260" s="357">
        <v>3.673433658537995</v>
      </c>
      <c r="P260" s="118"/>
      <c r="Q260" s="118"/>
      <c r="R260" s="118">
        <v>5</v>
      </c>
    </row>
    <row r="261" spans="1:18" ht="24">
      <c r="A261" s="114">
        <v>54.1</v>
      </c>
      <c r="B261" s="107" t="s">
        <v>441</v>
      </c>
      <c r="C261" s="115" t="s">
        <v>442</v>
      </c>
      <c r="D261" s="116">
        <v>2896.6</v>
      </c>
      <c r="E261" s="116">
        <v>1234.05</v>
      </c>
      <c r="F261" s="116">
        <v>186.72</v>
      </c>
      <c r="G261" s="116">
        <v>1475.83</v>
      </c>
      <c r="H261" s="117">
        <v>23624.89</v>
      </c>
      <c r="I261" s="117">
        <v>16104.66</v>
      </c>
      <c r="J261" s="117">
        <v>944.56</v>
      </c>
      <c r="K261" s="117">
        <v>6575.67</v>
      </c>
      <c r="L261" s="357">
        <v>8.1560760892080371</v>
      </c>
      <c r="M261" s="357">
        <v>13.05</v>
      </c>
      <c r="N261" s="357">
        <v>5.058697514995715</v>
      </c>
      <c r="O261" s="357">
        <v>4.4555741514944138</v>
      </c>
      <c r="P261" s="118"/>
      <c r="Q261" s="118"/>
      <c r="R261" s="118">
        <v>5</v>
      </c>
    </row>
    <row r="262" spans="1:18" ht="24">
      <c r="A262" s="114">
        <v>54.11</v>
      </c>
      <c r="B262" s="107" t="s">
        <v>443</v>
      </c>
      <c r="C262" s="115" t="s">
        <v>444</v>
      </c>
      <c r="D262" s="116">
        <v>2964.47</v>
      </c>
      <c r="E262" s="116">
        <v>1301.92</v>
      </c>
      <c r="F262" s="116">
        <v>186.72</v>
      </c>
      <c r="G262" s="116">
        <v>1475.83</v>
      </c>
      <c r="H262" s="117">
        <v>24510.45</v>
      </c>
      <c r="I262" s="117">
        <v>16990.22</v>
      </c>
      <c r="J262" s="117">
        <v>944.56</v>
      </c>
      <c r="K262" s="117">
        <v>6575.67</v>
      </c>
      <c r="L262" s="357">
        <v>8.2680715271195204</v>
      </c>
      <c r="M262" s="357">
        <v>13.05</v>
      </c>
      <c r="N262" s="357">
        <v>5.058697514995715</v>
      </c>
      <c r="O262" s="357">
        <v>4.4555741514944138</v>
      </c>
      <c r="P262" s="118"/>
      <c r="Q262" s="118"/>
      <c r="R262" s="118">
        <v>5</v>
      </c>
    </row>
    <row r="263" spans="1:18" ht="24">
      <c r="A263" s="119">
        <v>54.12</v>
      </c>
      <c r="B263" s="120" t="s">
        <v>445</v>
      </c>
      <c r="C263" s="121" t="s">
        <v>446</v>
      </c>
      <c r="D263" s="122">
        <v>8212.19</v>
      </c>
      <c r="E263" s="122">
        <v>1569.34</v>
      </c>
      <c r="F263" s="122">
        <v>234.98</v>
      </c>
      <c r="G263" s="122">
        <v>6407.87</v>
      </c>
      <c r="H263" s="123">
        <v>62848.18</v>
      </c>
      <c r="I263" s="123">
        <v>20480.400000000001</v>
      </c>
      <c r="J263" s="123">
        <v>1188.6600000000001</v>
      </c>
      <c r="K263" s="123">
        <v>41179.120000000003</v>
      </c>
      <c r="L263" s="356">
        <v>7.6530353048334243</v>
      </c>
      <c r="M263" s="356">
        <v>13.05</v>
      </c>
      <c r="N263" s="356">
        <v>5.058558175163844</v>
      </c>
      <c r="O263" s="356">
        <v>6.4263351160369986</v>
      </c>
      <c r="P263" s="124"/>
      <c r="Q263" s="124"/>
      <c r="R263" s="124">
        <v>5</v>
      </c>
    </row>
    <row r="264" spans="1:18" ht="12.75">
      <c r="A264" s="428" t="s">
        <v>447</v>
      </c>
      <c r="B264" s="429"/>
      <c r="C264" s="429"/>
      <c r="D264" s="429"/>
      <c r="E264" s="429"/>
      <c r="F264" s="429"/>
      <c r="G264" s="429"/>
      <c r="H264" s="429"/>
      <c r="I264" s="429"/>
      <c r="J264" s="429"/>
      <c r="K264" s="429"/>
      <c r="L264" s="429"/>
      <c r="M264" s="429"/>
      <c r="N264" s="429"/>
      <c r="O264" s="429"/>
      <c r="P264" s="429"/>
      <c r="Q264" s="429"/>
      <c r="R264" s="429"/>
    </row>
    <row r="265" spans="1:18" ht="24">
      <c r="A265" s="114">
        <v>54.13</v>
      </c>
      <c r="B265" s="107" t="s">
        <v>448</v>
      </c>
      <c r="C265" s="115" t="s">
        <v>449</v>
      </c>
      <c r="D265" s="116">
        <v>410.46</v>
      </c>
      <c r="E265" s="116">
        <v>124.25</v>
      </c>
      <c r="F265" s="116">
        <v>7.34</v>
      </c>
      <c r="G265" s="116">
        <v>278.87</v>
      </c>
      <c r="H265" s="117">
        <v>2714.26</v>
      </c>
      <c r="I265" s="117">
        <v>1621.44</v>
      </c>
      <c r="J265" s="117">
        <v>37.15</v>
      </c>
      <c r="K265" s="117">
        <v>1055.67</v>
      </c>
      <c r="L265" s="357">
        <v>6.612727184134874</v>
      </c>
      <c r="M265" s="357">
        <v>13.05</v>
      </c>
      <c r="N265" s="357">
        <v>5.061307901907357</v>
      </c>
      <c r="O265" s="357">
        <v>3.7855273066303297</v>
      </c>
      <c r="P265" s="118"/>
      <c r="Q265" s="118"/>
      <c r="R265" s="118">
        <v>6</v>
      </c>
    </row>
    <row r="266" spans="1:18" ht="24">
      <c r="A266" s="119">
        <v>54.14</v>
      </c>
      <c r="B266" s="120" t="s">
        <v>450</v>
      </c>
      <c r="C266" s="121" t="s">
        <v>451</v>
      </c>
      <c r="D266" s="122">
        <v>493.97</v>
      </c>
      <c r="E266" s="122">
        <v>163.57</v>
      </c>
      <c r="F266" s="122">
        <v>8.39</v>
      </c>
      <c r="G266" s="122">
        <v>322.01</v>
      </c>
      <c r="H266" s="123">
        <v>3419.34</v>
      </c>
      <c r="I266" s="123">
        <v>2134.56</v>
      </c>
      <c r="J266" s="123">
        <v>42.45</v>
      </c>
      <c r="K266" s="123">
        <v>1242.33</v>
      </c>
      <c r="L266" s="356">
        <v>6.9221612648541413</v>
      </c>
      <c r="M266" s="356">
        <v>13.05</v>
      </c>
      <c r="N266" s="356">
        <v>5.059594755661502</v>
      </c>
      <c r="O266" s="356">
        <v>3.8580478867115926</v>
      </c>
      <c r="P266" s="124"/>
      <c r="Q266" s="124"/>
      <c r="R266" s="124">
        <v>6</v>
      </c>
    </row>
    <row r="267" spans="1:18" ht="12.75">
      <c r="A267" s="428" t="s">
        <v>452</v>
      </c>
      <c r="B267" s="429"/>
      <c r="C267" s="429"/>
      <c r="D267" s="429"/>
      <c r="E267" s="429"/>
      <c r="F267" s="429"/>
      <c r="G267" s="429"/>
      <c r="H267" s="429"/>
      <c r="I267" s="429"/>
      <c r="J267" s="429"/>
      <c r="K267" s="429"/>
      <c r="L267" s="429"/>
      <c r="M267" s="429"/>
      <c r="N267" s="429"/>
      <c r="O267" s="429"/>
      <c r="P267" s="429"/>
      <c r="Q267" s="429"/>
      <c r="R267" s="429"/>
    </row>
    <row r="268" spans="1:18">
      <c r="A268" s="114">
        <v>54.15</v>
      </c>
      <c r="B268" s="107" t="s">
        <v>453</v>
      </c>
      <c r="C268" s="115" t="s">
        <v>454</v>
      </c>
      <c r="D268" s="116">
        <v>3167.5</v>
      </c>
      <c r="E268" s="116">
        <v>2087.69</v>
      </c>
      <c r="F268" s="116">
        <v>383.17</v>
      </c>
      <c r="G268" s="116">
        <v>696.64</v>
      </c>
      <c r="H268" s="117">
        <v>32496.94</v>
      </c>
      <c r="I268" s="117">
        <v>27243.39</v>
      </c>
      <c r="J268" s="117">
        <v>2842.19</v>
      </c>
      <c r="K268" s="117">
        <v>2411.36</v>
      </c>
      <c r="L268" s="357">
        <v>10.259491712707183</v>
      </c>
      <c r="M268" s="357">
        <v>13.05</v>
      </c>
      <c r="N268" s="357">
        <v>7.4175692251481067</v>
      </c>
      <c r="O268" s="357">
        <v>3.461414790996785</v>
      </c>
      <c r="P268" s="118"/>
      <c r="Q268" s="118"/>
      <c r="R268" s="118">
        <v>7</v>
      </c>
    </row>
    <row r="269" spans="1:18" ht="24">
      <c r="A269" s="119">
        <v>54.16</v>
      </c>
      <c r="B269" s="120" t="s">
        <v>455</v>
      </c>
      <c r="C269" s="121" t="s">
        <v>456</v>
      </c>
      <c r="D269" s="122">
        <v>3164</v>
      </c>
      <c r="E269" s="122">
        <v>2462.96</v>
      </c>
      <c r="F269" s="122">
        <v>456.33</v>
      </c>
      <c r="G269" s="122">
        <v>244.71</v>
      </c>
      <c r="H269" s="123">
        <v>37521.879999999997</v>
      </c>
      <c r="I269" s="123">
        <v>32140.48</v>
      </c>
      <c r="J269" s="123">
        <v>3455.39</v>
      </c>
      <c r="K269" s="123">
        <v>1926.01</v>
      </c>
      <c r="L269" s="356">
        <v>11.859001264222503</v>
      </c>
      <c r="M269" s="356">
        <v>13.05</v>
      </c>
      <c r="N269" s="356">
        <v>7.5721298183332237</v>
      </c>
      <c r="O269" s="356">
        <v>7.8705815046381424</v>
      </c>
      <c r="P269" s="124"/>
      <c r="Q269" s="124"/>
      <c r="R269" s="124">
        <v>7</v>
      </c>
    </row>
    <row r="270" spans="1:18" ht="12.75">
      <c r="A270" s="428" t="s">
        <v>457</v>
      </c>
      <c r="B270" s="429"/>
      <c r="C270" s="429"/>
      <c r="D270" s="429"/>
      <c r="E270" s="429"/>
      <c r="F270" s="429"/>
      <c r="G270" s="429"/>
      <c r="H270" s="429"/>
      <c r="I270" s="429"/>
      <c r="J270" s="429"/>
      <c r="K270" s="429"/>
      <c r="L270" s="429"/>
      <c r="M270" s="429"/>
      <c r="N270" s="429"/>
      <c r="O270" s="429"/>
      <c r="P270" s="429"/>
      <c r="Q270" s="429"/>
      <c r="R270" s="429"/>
    </row>
    <row r="271" spans="1:18" ht="24">
      <c r="A271" s="114">
        <v>54.17</v>
      </c>
      <c r="B271" s="107" t="s">
        <v>458</v>
      </c>
      <c r="C271" s="115" t="s">
        <v>459</v>
      </c>
      <c r="D271" s="116">
        <v>9276.16</v>
      </c>
      <c r="E271" s="116">
        <v>298.16000000000003</v>
      </c>
      <c r="F271" s="116">
        <v>22.63</v>
      </c>
      <c r="G271" s="116">
        <v>8955.3700000000008</v>
      </c>
      <c r="H271" s="117">
        <v>59305.81</v>
      </c>
      <c r="I271" s="117">
        <v>3890.99</v>
      </c>
      <c r="J271" s="117">
        <v>212.54</v>
      </c>
      <c r="K271" s="117">
        <v>55202.28</v>
      </c>
      <c r="L271" s="357">
        <v>6.3933578118531802</v>
      </c>
      <c r="M271" s="357">
        <v>13.05</v>
      </c>
      <c r="N271" s="357">
        <v>9.3919575784357043</v>
      </c>
      <c r="O271" s="357">
        <v>6.1641540215535473</v>
      </c>
      <c r="P271" s="118"/>
      <c r="Q271" s="118"/>
      <c r="R271" s="118">
        <v>8</v>
      </c>
    </row>
    <row r="272" spans="1:18" ht="24">
      <c r="A272" s="119">
        <v>54.18</v>
      </c>
      <c r="B272" s="120" t="s">
        <v>460</v>
      </c>
      <c r="C272" s="121" t="s">
        <v>461</v>
      </c>
      <c r="D272" s="122">
        <v>9255.7800000000007</v>
      </c>
      <c r="E272" s="122">
        <v>277.77999999999997</v>
      </c>
      <c r="F272" s="122">
        <v>22.63</v>
      </c>
      <c r="G272" s="122">
        <v>8955.3700000000008</v>
      </c>
      <c r="H272" s="123">
        <v>59039.85</v>
      </c>
      <c r="I272" s="123">
        <v>3625.03</v>
      </c>
      <c r="J272" s="123">
        <v>212.54</v>
      </c>
      <c r="K272" s="123">
        <v>55202.28</v>
      </c>
      <c r="L272" s="356">
        <v>6.3787006605602112</v>
      </c>
      <c r="M272" s="356">
        <v>13.05</v>
      </c>
      <c r="N272" s="356">
        <v>9.3919575784357043</v>
      </c>
      <c r="O272" s="356">
        <v>6.1641540215535473</v>
      </c>
      <c r="P272" s="124"/>
      <c r="Q272" s="124"/>
      <c r="R272" s="124">
        <v>8</v>
      </c>
    </row>
    <row r="273" spans="1:18" ht="12.75">
      <c r="A273" s="428" t="s">
        <v>462</v>
      </c>
      <c r="B273" s="429"/>
      <c r="C273" s="429"/>
      <c r="D273" s="429"/>
      <c r="E273" s="429"/>
      <c r="F273" s="429"/>
      <c r="G273" s="429"/>
      <c r="H273" s="429"/>
      <c r="I273" s="429"/>
      <c r="J273" s="429"/>
      <c r="K273" s="429"/>
      <c r="L273" s="429"/>
      <c r="M273" s="429"/>
      <c r="N273" s="429"/>
      <c r="O273" s="429"/>
      <c r="P273" s="429"/>
      <c r="Q273" s="429"/>
      <c r="R273" s="429"/>
    </row>
    <row r="274" spans="1:18" ht="24">
      <c r="A274" s="119">
        <v>54.19</v>
      </c>
      <c r="B274" s="120" t="s">
        <v>463</v>
      </c>
      <c r="C274" s="121" t="s">
        <v>464</v>
      </c>
      <c r="D274" s="122">
        <v>2720.8</v>
      </c>
      <c r="E274" s="122">
        <v>1143.52</v>
      </c>
      <c r="F274" s="122">
        <v>344.86</v>
      </c>
      <c r="G274" s="122">
        <v>1232.42</v>
      </c>
      <c r="H274" s="123">
        <v>26505.75</v>
      </c>
      <c r="I274" s="123">
        <v>14923.02</v>
      </c>
      <c r="J274" s="123">
        <v>3349.05</v>
      </c>
      <c r="K274" s="123">
        <v>8233.68</v>
      </c>
      <c r="L274" s="356">
        <v>9.74189576595119</v>
      </c>
      <c r="M274" s="356">
        <v>13.05</v>
      </c>
      <c r="N274" s="356">
        <v>9.7113321347793313</v>
      </c>
      <c r="O274" s="356">
        <v>6.6809042371918661</v>
      </c>
      <c r="P274" s="124"/>
      <c r="Q274" s="124"/>
      <c r="R274" s="124">
        <v>9</v>
      </c>
    </row>
    <row r="275" spans="1:18" ht="12.75">
      <c r="A275" s="428" t="s">
        <v>465</v>
      </c>
      <c r="B275" s="429"/>
      <c r="C275" s="429"/>
      <c r="D275" s="429"/>
      <c r="E275" s="429"/>
      <c r="F275" s="429"/>
      <c r="G275" s="429"/>
      <c r="H275" s="429"/>
      <c r="I275" s="429"/>
      <c r="J275" s="429"/>
      <c r="K275" s="429"/>
      <c r="L275" s="429"/>
      <c r="M275" s="429"/>
      <c r="N275" s="429"/>
      <c r="O275" s="429"/>
      <c r="P275" s="429"/>
      <c r="Q275" s="429"/>
      <c r="R275" s="429"/>
    </row>
    <row r="276" spans="1:18" ht="24">
      <c r="A276" s="119">
        <v>54.2</v>
      </c>
      <c r="B276" s="120" t="s">
        <v>466</v>
      </c>
      <c r="C276" s="121" t="s">
        <v>467</v>
      </c>
      <c r="D276" s="122">
        <v>8285.81</v>
      </c>
      <c r="E276" s="122">
        <v>1047.25</v>
      </c>
      <c r="F276" s="122">
        <v>73.430000000000007</v>
      </c>
      <c r="G276" s="122">
        <v>7165.13</v>
      </c>
      <c r="H276" s="123">
        <v>38446.79</v>
      </c>
      <c r="I276" s="123">
        <v>13666.8</v>
      </c>
      <c r="J276" s="123">
        <v>371.46</v>
      </c>
      <c r="K276" s="123">
        <v>24408.53</v>
      </c>
      <c r="L276" s="356">
        <v>4.6400762267056574</v>
      </c>
      <c r="M276" s="356">
        <v>13.05</v>
      </c>
      <c r="N276" s="356">
        <v>5.0586953561214756</v>
      </c>
      <c r="O276" s="356">
        <v>3.4065718277267822</v>
      </c>
      <c r="P276" s="124"/>
      <c r="Q276" s="124"/>
      <c r="R276" s="124">
        <v>10</v>
      </c>
    </row>
    <row r="277" spans="1:18" ht="12.75">
      <c r="A277" s="428" t="s">
        <v>468</v>
      </c>
      <c r="B277" s="429"/>
      <c r="C277" s="429"/>
      <c r="D277" s="429"/>
      <c r="E277" s="429"/>
      <c r="F277" s="429"/>
      <c r="G277" s="429"/>
      <c r="H277" s="429"/>
      <c r="I277" s="429"/>
      <c r="J277" s="429"/>
      <c r="K277" s="429"/>
      <c r="L277" s="429"/>
      <c r="M277" s="429"/>
      <c r="N277" s="429"/>
      <c r="O277" s="429"/>
      <c r="P277" s="429"/>
      <c r="Q277" s="429"/>
      <c r="R277" s="429"/>
    </row>
    <row r="278" spans="1:18" ht="24">
      <c r="A278" s="119">
        <v>54.21</v>
      </c>
      <c r="B278" s="120" t="s">
        <v>469</v>
      </c>
      <c r="C278" s="121" t="s">
        <v>470</v>
      </c>
      <c r="D278" s="122">
        <v>851.17</v>
      </c>
      <c r="E278" s="122">
        <v>94.57</v>
      </c>
      <c r="F278" s="122">
        <v>1.1100000000000001</v>
      </c>
      <c r="G278" s="122">
        <v>755.49</v>
      </c>
      <c r="H278" s="123">
        <v>5349.73</v>
      </c>
      <c r="I278" s="123">
        <v>1234.1400000000001</v>
      </c>
      <c r="J278" s="123">
        <v>6.8</v>
      </c>
      <c r="K278" s="123">
        <v>4108.79</v>
      </c>
      <c r="L278" s="356">
        <v>6.2851486777024563</v>
      </c>
      <c r="M278" s="356">
        <v>13.05</v>
      </c>
      <c r="N278" s="356">
        <v>6.1261261261261257</v>
      </c>
      <c r="O278" s="356">
        <v>5.4385762882367734</v>
      </c>
      <c r="P278" s="124"/>
      <c r="Q278" s="124"/>
      <c r="R278" s="124">
        <v>11</v>
      </c>
    </row>
    <row r="279" spans="1:18" ht="12.75">
      <c r="A279" s="428" t="s">
        <v>471</v>
      </c>
      <c r="B279" s="429"/>
      <c r="C279" s="429"/>
      <c r="D279" s="429"/>
      <c r="E279" s="429"/>
      <c r="F279" s="429"/>
      <c r="G279" s="429"/>
      <c r="H279" s="429"/>
      <c r="I279" s="429"/>
      <c r="J279" s="429"/>
      <c r="K279" s="429"/>
      <c r="L279" s="429"/>
      <c r="M279" s="429"/>
      <c r="N279" s="429"/>
      <c r="O279" s="429"/>
      <c r="P279" s="429"/>
      <c r="Q279" s="429"/>
      <c r="R279" s="429"/>
    </row>
    <row r="280" spans="1:18">
      <c r="A280" s="119">
        <v>54.22</v>
      </c>
      <c r="B280" s="120" t="s">
        <v>472</v>
      </c>
      <c r="C280" s="121" t="s">
        <v>473</v>
      </c>
      <c r="D280" s="122">
        <v>519.63</v>
      </c>
      <c r="E280" s="122">
        <v>158.09</v>
      </c>
      <c r="F280" s="122">
        <v>10.49</v>
      </c>
      <c r="G280" s="122">
        <v>351.05</v>
      </c>
      <c r="H280" s="123">
        <v>3762.57</v>
      </c>
      <c r="I280" s="123">
        <v>2063.04</v>
      </c>
      <c r="J280" s="123">
        <v>53.07</v>
      </c>
      <c r="K280" s="123">
        <v>1646.46</v>
      </c>
      <c r="L280" s="356">
        <v>7.2408636914727795</v>
      </c>
      <c r="M280" s="356">
        <v>13.05</v>
      </c>
      <c r="N280" s="356">
        <v>5.0591039084842704</v>
      </c>
      <c r="O280" s="356">
        <v>4.6901011251958407</v>
      </c>
      <c r="P280" s="124"/>
      <c r="Q280" s="124"/>
      <c r="R280" s="124">
        <v>12</v>
      </c>
    </row>
    <row r="281" spans="1:18" ht="12.75">
      <c r="A281" s="428" t="s">
        <v>474</v>
      </c>
      <c r="B281" s="429"/>
      <c r="C281" s="429"/>
      <c r="D281" s="429"/>
      <c r="E281" s="429"/>
      <c r="F281" s="429"/>
      <c r="G281" s="429"/>
      <c r="H281" s="429"/>
      <c r="I281" s="429"/>
      <c r="J281" s="429"/>
      <c r="K281" s="429"/>
      <c r="L281" s="429"/>
      <c r="M281" s="429"/>
      <c r="N281" s="429"/>
      <c r="O281" s="429"/>
      <c r="P281" s="429"/>
      <c r="Q281" s="429"/>
      <c r="R281" s="429"/>
    </row>
    <row r="282" spans="1:18">
      <c r="A282" s="119">
        <v>54.23</v>
      </c>
      <c r="B282" s="120" t="s">
        <v>475</v>
      </c>
      <c r="C282" s="121" t="s">
        <v>476</v>
      </c>
      <c r="D282" s="122">
        <v>9665.4500000000007</v>
      </c>
      <c r="E282" s="122">
        <v>6646.15</v>
      </c>
      <c r="F282" s="122">
        <v>1405.61</v>
      </c>
      <c r="G282" s="122">
        <v>1613.69</v>
      </c>
      <c r="H282" s="123">
        <v>106588.98</v>
      </c>
      <c r="I282" s="123">
        <v>86734.59</v>
      </c>
      <c r="J282" s="123">
        <v>10849.57</v>
      </c>
      <c r="K282" s="123">
        <v>9004.82</v>
      </c>
      <c r="L282" s="356">
        <v>11.027834192924281</v>
      </c>
      <c r="M282" s="356">
        <v>13.05</v>
      </c>
      <c r="N282" s="356">
        <v>7.7187626724340328</v>
      </c>
      <c r="O282" s="356">
        <v>5.5802663460763835</v>
      </c>
      <c r="P282" s="124"/>
      <c r="Q282" s="124"/>
      <c r="R282" s="124">
        <v>13</v>
      </c>
    </row>
    <row r="283" spans="1:18" ht="12.75">
      <c r="A283" s="428" t="s">
        <v>477</v>
      </c>
      <c r="B283" s="429"/>
      <c r="C283" s="429"/>
      <c r="D283" s="429"/>
      <c r="E283" s="429"/>
      <c r="F283" s="429"/>
      <c r="G283" s="429"/>
      <c r="H283" s="429"/>
      <c r="I283" s="429"/>
      <c r="J283" s="429"/>
      <c r="K283" s="429"/>
      <c r="L283" s="429"/>
      <c r="M283" s="429"/>
      <c r="N283" s="429"/>
      <c r="O283" s="429"/>
      <c r="P283" s="429"/>
      <c r="Q283" s="429"/>
      <c r="R283" s="429"/>
    </row>
    <row r="284" spans="1:18" ht="36">
      <c r="A284" s="114">
        <v>54.24</v>
      </c>
      <c r="B284" s="107" t="s">
        <v>478</v>
      </c>
      <c r="C284" s="115" t="s">
        <v>479</v>
      </c>
      <c r="D284" s="116">
        <v>310.29000000000002</v>
      </c>
      <c r="E284" s="116">
        <v>140.68</v>
      </c>
      <c r="F284" s="116">
        <v>57.85</v>
      </c>
      <c r="G284" s="116">
        <v>111.76</v>
      </c>
      <c r="H284" s="117">
        <v>2848.4</v>
      </c>
      <c r="I284" s="117">
        <v>1835.87</v>
      </c>
      <c r="J284" s="117">
        <v>426.29</v>
      </c>
      <c r="K284" s="117">
        <v>586.24</v>
      </c>
      <c r="L284" s="357">
        <v>9.179799542363595</v>
      </c>
      <c r="M284" s="357">
        <v>13.05</v>
      </c>
      <c r="N284" s="357">
        <v>7.3688850475367333</v>
      </c>
      <c r="O284" s="357">
        <v>5.2455261274158911</v>
      </c>
      <c r="P284" s="118"/>
      <c r="Q284" s="118"/>
      <c r="R284" s="118">
        <v>14</v>
      </c>
    </row>
    <row r="285" spans="1:18" ht="36">
      <c r="A285" s="114">
        <v>54.25</v>
      </c>
      <c r="B285" s="107" t="s">
        <v>480</v>
      </c>
      <c r="C285" s="115" t="s">
        <v>481</v>
      </c>
      <c r="D285" s="116">
        <v>270.16000000000003</v>
      </c>
      <c r="E285" s="116">
        <v>123.85</v>
      </c>
      <c r="F285" s="116">
        <v>56.96</v>
      </c>
      <c r="G285" s="116">
        <v>89.35</v>
      </c>
      <c r="H285" s="117">
        <v>2381.5500000000002</v>
      </c>
      <c r="I285" s="117">
        <v>1616.19</v>
      </c>
      <c r="J285" s="117">
        <v>420.85</v>
      </c>
      <c r="K285" s="117">
        <v>344.51</v>
      </c>
      <c r="L285" s="357">
        <v>8.8153316553153687</v>
      </c>
      <c r="M285" s="357">
        <v>13.05</v>
      </c>
      <c r="N285" s="357">
        <v>7.3885182584269664</v>
      </c>
      <c r="O285" s="357">
        <v>3.8557358701734752</v>
      </c>
      <c r="P285" s="118"/>
      <c r="Q285" s="118"/>
      <c r="R285" s="118">
        <v>14</v>
      </c>
    </row>
    <row r="286" spans="1:18" ht="36">
      <c r="A286" s="119">
        <v>54.26</v>
      </c>
      <c r="B286" s="120" t="s">
        <v>482</v>
      </c>
      <c r="C286" s="121" t="s">
        <v>483</v>
      </c>
      <c r="D286" s="122">
        <v>121.67</v>
      </c>
      <c r="E286" s="122">
        <v>84.6</v>
      </c>
      <c r="F286" s="122">
        <v>11.15</v>
      </c>
      <c r="G286" s="122">
        <v>25.92</v>
      </c>
      <c r="H286" s="123">
        <v>1320.71</v>
      </c>
      <c r="I286" s="123">
        <v>1104.1099999999999</v>
      </c>
      <c r="J286" s="123">
        <v>57.15</v>
      </c>
      <c r="K286" s="123">
        <v>159.44999999999999</v>
      </c>
      <c r="L286" s="356">
        <v>10.854853291690638</v>
      </c>
      <c r="M286" s="356">
        <v>13.05</v>
      </c>
      <c r="N286" s="356">
        <v>5.1255605381165914</v>
      </c>
      <c r="O286" s="356">
        <v>6.1516203703703694</v>
      </c>
      <c r="P286" s="124"/>
      <c r="Q286" s="124"/>
      <c r="R286" s="124">
        <v>14</v>
      </c>
    </row>
    <row r="287" spans="1:18" ht="12.75">
      <c r="A287" s="428" t="s">
        <v>484</v>
      </c>
      <c r="B287" s="429"/>
      <c r="C287" s="429"/>
      <c r="D287" s="429"/>
      <c r="E287" s="429"/>
      <c r="F287" s="429"/>
      <c r="G287" s="429"/>
      <c r="H287" s="429"/>
      <c r="I287" s="429"/>
      <c r="J287" s="429"/>
      <c r="K287" s="429"/>
      <c r="L287" s="429"/>
      <c r="M287" s="429"/>
      <c r="N287" s="429"/>
      <c r="O287" s="429"/>
      <c r="P287" s="429"/>
      <c r="Q287" s="429"/>
      <c r="R287" s="429"/>
    </row>
    <row r="288" spans="1:18" ht="24">
      <c r="A288" s="114">
        <v>54.27</v>
      </c>
      <c r="B288" s="107" t="s">
        <v>485</v>
      </c>
      <c r="C288" s="115" t="s">
        <v>486</v>
      </c>
      <c r="D288" s="116">
        <v>6701.57</v>
      </c>
      <c r="E288" s="116">
        <v>1445.46</v>
      </c>
      <c r="F288" s="116">
        <v>3830.88</v>
      </c>
      <c r="G288" s="116">
        <v>1425.23</v>
      </c>
      <c r="H288" s="117">
        <v>60138.79</v>
      </c>
      <c r="I288" s="117">
        <v>18863.05</v>
      </c>
      <c r="J288" s="117">
        <v>31986.69</v>
      </c>
      <c r="K288" s="117">
        <v>9289.0499999999993</v>
      </c>
      <c r="L288" s="357">
        <v>8.973835981717718</v>
      </c>
      <c r="M288" s="357">
        <v>13.05</v>
      </c>
      <c r="N288" s="357">
        <v>8.349697719584011</v>
      </c>
      <c r="O288" s="357">
        <v>6.5175796187282042</v>
      </c>
      <c r="P288" s="118"/>
      <c r="Q288" s="118"/>
      <c r="R288" s="118">
        <v>15</v>
      </c>
    </row>
    <row r="289" spans="1:18" ht="12.75">
      <c r="A289" s="105"/>
      <c r="B289" s="111"/>
      <c r="C289" s="110"/>
      <c r="D289" s="112"/>
      <c r="E289" s="112"/>
      <c r="F289" s="112"/>
      <c r="G289" s="112"/>
      <c r="H289" s="113"/>
      <c r="I289" s="113"/>
      <c r="J289" s="113"/>
      <c r="K289" s="113"/>
      <c r="L289" s="355"/>
      <c r="M289" s="355"/>
      <c r="N289" s="355"/>
      <c r="O289" s="354"/>
      <c r="P289" s="104"/>
      <c r="Q289" s="104"/>
      <c r="R289" s="104"/>
    </row>
    <row r="290" spans="1:18">
      <c r="A290" s="85"/>
      <c r="B290" s="88"/>
      <c r="C290" s="85"/>
      <c r="D290" s="85"/>
      <c r="E290" s="85"/>
      <c r="F290" s="85"/>
      <c r="G290" s="85"/>
      <c r="H290" s="87"/>
      <c r="I290" s="87"/>
      <c r="J290" s="87"/>
      <c r="K290" s="87"/>
      <c r="O290" s="353"/>
      <c r="P290" s="85"/>
      <c r="Q290" s="85"/>
      <c r="R290" s="85"/>
    </row>
    <row r="291" spans="1:18">
      <c r="O291" s="353"/>
    </row>
    <row r="292" spans="1:18">
      <c r="O292" s="352"/>
    </row>
    <row r="293" spans="1:18" ht="23.25">
      <c r="A293" s="61"/>
      <c r="B293" s="60"/>
      <c r="C293" s="45" t="s">
        <v>487</v>
      </c>
      <c r="D293" s="45"/>
      <c r="E293" s="45"/>
      <c r="F293" s="45"/>
      <c r="G293" s="45"/>
      <c r="H293" s="58"/>
      <c r="I293" s="58"/>
      <c r="J293" s="58"/>
      <c r="K293" s="58"/>
      <c r="L293" s="351"/>
      <c r="M293" s="351"/>
      <c r="N293" s="351"/>
      <c r="O293" s="350"/>
    </row>
    <row r="294" spans="1:18" ht="12.75">
      <c r="A294" s="428" t="s">
        <v>488</v>
      </c>
      <c r="B294" s="429"/>
      <c r="C294" s="429"/>
      <c r="D294" s="429"/>
      <c r="E294" s="429"/>
      <c r="F294" s="429"/>
      <c r="G294" s="429"/>
      <c r="H294" s="429"/>
      <c r="I294" s="429"/>
      <c r="J294" s="429"/>
      <c r="K294" s="429"/>
      <c r="L294" s="429"/>
      <c r="M294" s="429"/>
      <c r="N294" s="429"/>
      <c r="O294" s="429"/>
      <c r="P294" s="429"/>
      <c r="Q294" s="429"/>
      <c r="R294" s="429"/>
    </row>
    <row r="295" spans="1:18" ht="36">
      <c r="A295" s="135">
        <v>55.1</v>
      </c>
      <c r="B295" s="128" t="s">
        <v>489</v>
      </c>
      <c r="C295" s="136" t="s">
        <v>490</v>
      </c>
      <c r="D295" s="137">
        <v>2972.36</v>
      </c>
      <c r="E295" s="137">
        <v>2160.36</v>
      </c>
      <c r="F295" s="137">
        <v>43.01</v>
      </c>
      <c r="G295" s="137">
        <v>768.99</v>
      </c>
      <c r="H295" s="138">
        <v>31410.98</v>
      </c>
      <c r="I295" s="138">
        <v>28192.06</v>
      </c>
      <c r="J295" s="138">
        <v>217.57</v>
      </c>
      <c r="K295" s="138">
        <v>3001.35</v>
      </c>
      <c r="L295" s="357">
        <v>10.567690320149644</v>
      </c>
      <c r="M295" s="357">
        <v>13.05</v>
      </c>
      <c r="N295" s="357">
        <v>5.0585910253429436</v>
      </c>
      <c r="O295" s="357">
        <v>3.9029766316857173</v>
      </c>
      <c r="P295" s="139"/>
      <c r="Q295" s="139"/>
      <c r="R295" s="139">
        <v>1</v>
      </c>
    </row>
    <row r="296" spans="1:18" ht="36">
      <c r="A296" s="135">
        <v>55.2</v>
      </c>
      <c r="B296" s="128" t="s">
        <v>491</v>
      </c>
      <c r="C296" s="136" t="s">
        <v>492</v>
      </c>
      <c r="D296" s="137">
        <v>3944.79</v>
      </c>
      <c r="E296" s="137">
        <v>2192.63</v>
      </c>
      <c r="F296" s="137">
        <v>75.53</v>
      </c>
      <c r="G296" s="137">
        <v>1676.63</v>
      </c>
      <c r="H296" s="138">
        <v>35325.42</v>
      </c>
      <c r="I296" s="138">
        <v>28613.1</v>
      </c>
      <c r="J296" s="138">
        <v>382.07</v>
      </c>
      <c r="K296" s="138">
        <v>6330.25</v>
      </c>
      <c r="L296" s="357">
        <v>8.9549557771136108</v>
      </c>
      <c r="M296" s="357">
        <v>13.05</v>
      </c>
      <c r="N296" s="357">
        <v>5.0585197934595527</v>
      </c>
      <c r="O296" s="357">
        <v>3.7755795852394383</v>
      </c>
      <c r="P296" s="139"/>
      <c r="Q296" s="139"/>
      <c r="R296" s="139">
        <v>1</v>
      </c>
    </row>
    <row r="297" spans="1:18" ht="36">
      <c r="A297" s="135">
        <v>55.3</v>
      </c>
      <c r="B297" s="128" t="s">
        <v>493</v>
      </c>
      <c r="C297" s="136" t="s">
        <v>494</v>
      </c>
      <c r="D297" s="137">
        <v>5166.6000000000004</v>
      </c>
      <c r="E297" s="137">
        <v>2246.63</v>
      </c>
      <c r="F297" s="137">
        <v>119.59</v>
      </c>
      <c r="G297" s="137">
        <v>2800.38</v>
      </c>
      <c r="H297" s="138">
        <v>40380.49</v>
      </c>
      <c r="I297" s="138">
        <v>29317.77</v>
      </c>
      <c r="J297" s="138">
        <v>604.94000000000005</v>
      </c>
      <c r="K297" s="138">
        <v>10457.780000000001</v>
      </c>
      <c r="L297" s="357">
        <v>7.8156795571555753</v>
      </c>
      <c r="M297" s="357">
        <v>13.05</v>
      </c>
      <c r="N297" s="357">
        <v>5.058449703152438</v>
      </c>
      <c r="O297" s="357">
        <v>3.7344146151593711</v>
      </c>
      <c r="P297" s="139"/>
      <c r="Q297" s="139"/>
      <c r="R297" s="139">
        <v>1</v>
      </c>
    </row>
    <row r="298" spans="1:18" ht="36">
      <c r="A298" s="135">
        <v>55.4</v>
      </c>
      <c r="B298" s="128" t="s">
        <v>495</v>
      </c>
      <c r="C298" s="136" t="s">
        <v>496</v>
      </c>
      <c r="D298" s="137">
        <v>4049.05</v>
      </c>
      <c r="E298" s="137">
        <v>2825.45</v>
      </c>
      <c r="F298" s="137">
        <v>39.86</v>
      </c>
      <c r="G298" s="137">
        <v>1183.74</v>
      </c>
      <c r="H298" s="138">
        <v>41721.370000000003</v>
      </c>
      <c r="I298" s="138">
        <v>36871.29</v>
      </c>
      <c r="J298" s="138">
        <v>201.65</v>
      </c>
      <c r="K298" s="138">
        <v>4648.43</v>
      </c>
      <c r="L298" s="357">
        <v>10.303989824773712</v>
      </c>
      <c r="M298" s="357">
        <v>13.05</v>
      </c>
      <c r="N298" s="357">
        <v>5.0589563472152532</v>
      </c>
      <c r="O298" s="357">
        <v>3.9269011776234648</v>
      </c>
      <c r="P298" s="139"/>
      <c r="Q298" s="139"/>
      <c r="R298" s="139">
        <v>1</v>
      </c>
    </row>
    <row r="299" spans="1:18" ht="36">
      <c r="A299" s="135">
        <v>55.5</v>
      </c>
      <c r="B299" s="128" t="s">
        <v>497</v>
      </c>
      <c r="C299" s="136" t="s">
        <v>498</v>
      </c>
      <c r="D299" s="137">
        <v>5451.9</v>
      </c>
      <c r="E299" s="137">
        <v>2864.77</v>
      </c>
      <c r="F299" s="137">
        <v>79.72</v>
      </c>
      <c r="G299" s="137">
        <v>2507.41</v>
      </c>
      <c r="H299" s="138">
        <v>47265.66</v>
      </c>
      <c r="I299" s="138">
        <v>37384.35</v>
      </c>
      <c r="J299" s="138">
        <v>403.29</v>
      </c>
      <c r="K299" s="138">
        <v>9478.02</v>
      </c>
      <c r="L299" s="357">
        <v>8.6695757442359564</v>
      </c>
      <c r="M299" s="357">
        <v>13.05</v>
      </c>
      <c r="N299" s="357">
        <v>5.0588309081786251</v>
      </c>
      <c r="O299" s="357">
        <v>3.7800040679426186</v>
      </c>
      <c r="P299" s="139"/>
      <c r="Q299" s="139"/>
      <c r="R299" s="139">
        <v>1</v>
      </c>
    </row>
    <row r="300" spans="1:18" ht="36">
      <c r="A300" s="140">
        <v>55.6</v>
      </c>
      <c r="B300" s="141" t="s">
        <v>499</v>
      </c>
      <c r="C300" s="142" t="s">
        <v>500</v>
      </c>
      <c r="D300" s="143">
        <v>7237.77</v>
      </c>
      <c r="E300" s="143">
        <v>2906.89</v>
      </c>
      <c r="F300" s="143">
        <v>126.93</v>
      </c>
      <c r="G300" s="143">
        <v>4203.95</v>
      </c>
      <c r="H300" s="144">
        <v>54245.21</v>
      </c>
      <c r="I300" s="144">
        <v>37933.980000000003</v>
      </c>
      <c r="J300" s="144">
        <v>642.09</v>
      </c>
      <c r="K300" s="144">
        <v>15669.14</v>
      </c>
      <c r="L300" s="356">
        <v>7.4947407834180968</v>
      </c>
      <c r="M300" s="356">
        <v>13.05</v>
      </c>
      <c r="N300" s="356">
        <v>5.0586149846372015</v>
      </c>
      <c r="O300" s="356">
        <v>3.7272422364680837</v>
      </c>
      <c r="P300" s="145"/>
      <c r="Q300" s="145"/>
      <c r="R300" s="145">
        <v>1</v>
      </c>
    </row>
    <row r="301" spans="1:18" ht="12.75">
      <c r="A301" s="428" t="s">
        <v>501</v>
      </c>
      <c r="B301" s="429"/>
      <c r="C301" s="429"/>
      <c r="D301" s="429"/>
      <c r="E301" s="429"/>
      <c r="F301" s="429"/>
      <c r="G301" s="429"/>
      <c r="H301" s="429"/>
      <c r="I301" s="429"/>
      <c r="J301" s="429"/>
      <c r="K301" s="429"/>
      <c r="L301" s="429"/>
      <c r="M301" s="429"/>
      <c r="N301" s="429"/>
      <c r="O301" s="429"/>
      <c r="P301" s="429"/>
      <c r="Q301" s="429"/>
      <c r="R301" s="429"/>
    </row>
    <row r="302" spans="1:18">
      <c r="A302" s="140">
        <v>55.7</v>
      </c>
      <c r="B302" s="141" t="s">
        <v>502</v>
      </c>
      <c r="C302" s="142" t="s">
        <v>503</v>
      </c>
      <c r="D302" s="143">
        <v>2132.04</v>
      </c>
      <c r="E302" s="143">
        <v>879.8</v>
      </c>
      <c r="F302" s="143">
        <v>5.25</v>
      </c>
      <c r="G302" s="143">
        <v>1246.99</v>
      </c>
      <c r="H302" s="144">
        <v>16547.78</v>
      </c>
      <c r="I302" s="144">
        <v>11481.67</v>
      </c>
      <c r="J302" s="144">
        <v>26.53</v>
      </c>
      <c r="K302" s="144">
        <v>5039.58</v>
      </c>
      <c r="L302" s="356">
        <v>7.7614772705952984</v>
      </c>
      <c r="M302" s="356">
        <v>13.05</v>
      </c>
      <c r="N302" s="356">
        <v>5.0533333333333337</v>
      </c>
      <c r="O302" s="356">
        <v>4.041395680799365</v>
      </c>
      <c r="P302" s="145"/>
      <c r="Q302" s="145"/>
      <c r="R302" s="145">
        <v>2</v>
      </c>
    </row>
    <row r="303" spans="1:18" ht="12.75">
      <c r="A303" s="428" t="s">
        <v>504</v>
      </c>
      <c r="B303" s="429"/>
      <c r="C303" s="429"/>
      <c r="D303" s="429"/>
      <c r="E303" s="429"/>
      <c r="F303" s="429"/>
      <c r="G303" s="429"/>
      <c r="H303" s="429"/>
      <c r="I303" s="429"/>
      <c r="J303" s="429"/>
      <c r="K303" s="429"/>
      <c r="L303" s="429"/>
      <c r="M303" s="429"/>
      <c r="N303" s="429"/>
      <c r="O303" s="429"/>
      <c r="P303" s="429"/>
      <c r="Q303" s="429"/>
      <c r="R303" s="429"/>
    </row>
    <row r="304" spans="1:18" ht="24">
      <c r="A304" s="140">
        <v>55.8</v>
      </c>
      <c r="B304" s="141" t="s">
        <v>505</v>
      </c>
      <c r="C304" s="142" t="s">
        <v>506</v>
      </c>
      <c r="D304" s="143">
        <v>13.63</v>
      </c>
      <c r="E304" s="143">
        <v>1.87</v>
      </c>
      <c r="F304" s="143">
        <v>3.15</v>
      </c>
      <c r="G304" s="143">
        <v>8.61</v>
      </c>
      <c r="H304" s="144">
        <v>148.27000000000001</v>
      </c>
      <c r="I304" s="144">
        <v>24.44</v>
      </c>
      <c r="J304" s="144">
        <v>15.92</v>
      </c>
      <c r="K304" s="144">
        <v>107.91</v>
      </c>
      <c r="L304" s="356">
        <v>10.878209831254585</v>
      </c>
      <c r="M304" s="356">
        <v>13.05</v>
      </c>
      <c r="N304" s="356">
        <v>5.0539682539682538</v>
      </c>
      <c r="O304" s="356">
        <v>12.533101045296167</v>
      </c>
      <c r="P304" s="145"/>
      <c r="Q304" s="145"/>
      <c r="R304" s="145">
        <v>3</v>
      </c>
    </row>
    <row r="305" spans="1:18" ht="12.75">
      <c r="A305" s="428" t="s">
        <v>507</v>
      </c>
      <c r="B305" s="429"/>
      <c r="C305" s="429"/>
      <c r="D305" s="429"/>
      <c r="E305" s="429"/>
      <c r="F305" s="429"/>
      <c r="G305" s="429"/>
      <c r="H305" s="429"/>
      <c r="I305" s="429"/>
      <c r="J305" s="429"/>
      <c r="K305" s="429"/>
      <c r="L305" s="429"/>
      <c r="M305" s="429"/>
      <c r="N305" s="429"/>
      <c r="O305" s="429"/>
      <c r="P305" s="429"/>
      <c r="Q305" s="429"/>
      <c r="R305" s="429"/>
    </row>
    <row r="306" spans="1:18" ht="36">
      <c r="A306" s="135">
        <v>55.9</v>
      </c>
      <c r="B306" s="128" t="s">
        <v>508</v>
      </c>
      <c r="C306" s="136" t="s">
        <v>509</v>
      </c>
      <c r="D306" s="137">
        <v>16975.55</v>
      </c>
      <c r="E306" s="137">
        <v>1555.17</v>
      </c>
      <c r="F306" s="137">
        <v>120.16</v>
      </c>
      <c r="G306" s="137">
        <v>15300.22</v>
      </c>
      <c r="H306" s="138">
        <v>84321.49</v>
      </c>
      <c r="I306" s="138">
        <v>20294.64</v>
      </c>
      <c r="J306" s="138">
        <v>869.24</v>
      </c>
      <c r="K306" s="138">
        <v>63157.61</v>
      </c>
      <c r="L306" s="357">
        <v>4.9672316949966282</v>
      </c>
      <c r="M306" s="357">
        <v>13.05</v>
      </c>
      <c r="N306" s="357">
        <v>7.234021304926765</v>
      </c>
      <c r="O306" s="357">
        <v>4.1278890107462507</v>
      </c>
      <c r="P306" s="139"/>
      <c r="Q306" s="139"/>
      <c r="R306" s="139">
        <v>4</v>
      </c>
    </row>
    <row r="307" spans="1:18" ht="36">
      <c r="A307" s="135">
        <v>55.1</v>
      </c>
      <c r="B307" s="128" t="s">
        <v>510</v>
      </c>
      <c r="C307" s="136" t="s">
        <v>511</v>
      </c>
      <c r="D307" s="137">
        <v>16928.68</v>
      </c>
      <c r="E307" s="137">
        <v>1508.3</v>
      </c>
      <c r="F307" s="137">
        <v>120.16</v>
      </c>
      <c r="G307" s="137">
        <v>15300.22</v>
      </c>
      <c r="H307" s="138">
        <v>83709.84</v>
      </c>
      <c r="I307" s="138">
        <v>19682.990000000002</v>
      </c>
      <c r="J307" s="138">
        <v>869.24</v>
      </c>
      <c r="K307" s="138">
        <v>63157.61</v>
      </c>
      <c r="L307" s="357">
        <v>4.9448533494637497</v>
      </c>
      <c r="M307" s="357">
        <v>13.05</v>
      </c>
      <c r="N307" s="357">
        <v>7.234021304926765</v>
      </c>
      <c r="O307" s="357">
        <v>4.1278890107462507</v>
      </c>
      <c r="P307" s="139"/>
      <c r="Q307" s="139"/>
      <c r="R307" s="139">
        <v>4</v>
      </c>
    </row>
    <row r="308" spans="1:18" ht="36">
      <c r="A308" s="135">
        <v>55.11</v>
      </c>
      <c r="B308" s="128" t="s">
        <v>512</v>
      </c>
      <c r="C308" s="136" t="s">
        <v>513</v>
      </c>
      <c r="D308" s="137">
        <v>33712.32</v>
      </c>
      <c r="E308" s="137">
        <v>2869.51</v>
      </c>
      <c r="F308" s="137">
        <v>279</v>
      </c>
      <c r="G308" s="137">
        <v>30563.81</v>
      </c>
      <c r="H308" s="138">
        <v>165550.87</v>
      </c>
      <c r="I308" s="138">
        <v>37446.019999999997</v>
      </c>
      <c r="J308" s="138">
        <v>2009.89</v>
      </c>
      <c r="K308" s="138">
        <v>126094.96</v>
      </c>
      <c r="L308" s="357">
        <v>4.9106934794164268</v>
      </c>
      <c r="M308" s="357">
        <v>13.05</v>
      </c>
      <c r="N308" s="357">
        <v>7.2039068100358428</v>
      </c>
      <c r="O308" s="357">
        <v>4.1256296253641151</v>
      </c>
      <c r="P308" s="139"/>
      <c r="Q308" s="139"/>
      <c r="R308" s="139">
        <v>4</v>
      </c>
    </row>
    <row r="309" spans="1:18" ht="36">
      <c r="A309" s="140">
        <v>55.12</v>
      </c>
      <c r="B309" s="141" t="s">
        <v>514</v>
      </c>
      <c r="C309" s="142" t="s">
        <v>515</v>
      </c>
      <c r="D309" s="143">
        <v>33618.1</v>
      </c>
      <c r="E309" s="143">
        <v>2775.29</v>
      </c>
      <c r="F309" s="143">
        <v>279</v>
      </c>
      <c r="G309" s="143">
        <v>30563.81</v>
      </c>
      <c r="H309" s="144">
        <v>164321.35999999999</v>
      </c>
      <c r="I309" s="144">
        <v>36216.51</v>
      </c>
      <c r="J309" s="144">
        <v>2009.89</v>
      </c>
      <c r="K309" s="144">
        <v>126094.96</v>
      </c>
      <c r="L309" s="356">
        <v>4.8878836103170613</v>
      </c>
      <c r="M309" s="356">
        <v>13.05</v>
      </c>
      <c r="N309" s="356">
        <v>7.2039068100358428</v>
      </c>
      <c r="O309" s="356">
        <v>4.1256296253641151</v>
      </c>
      <c r="P309" s="145"/>
      <c r="Q309" s="145"/>
      <c r="R309" s="145">
        <v>4</v>
      </c>
    </row>
    <row r="310" spans="1:18" ht="12.75">
      <c r="A310" s="428" t="s">
        <v>516</v>
      </c>
      <c r="B310" s="429"/>
      <c r="C310" s="429"/>
      <c r="D310" s="429"/>
      <c r="E310" s="429"/>
      <c r="F310" s="429"/>
      <c r="G310" s="429"/>
      <c r="H310" s="429"/>
      <c r="I310" s="429"/>
      <c r="J310" s="429"/>
      <c r="K310" s="429"/>
      <c r="L310" s="429"/>
      <c r="M310" s="429"/>
      <c r="N310" s="429"/>
      <c r="O310" s="429"/>
      <c r="P310" s="429"/>
      <c r="Q310" s="429"/>
      <c r="R310" s="429"/>
    </row>
    <row r="311" spans="1:18" ht="24">
      <c r="A311" s="140">
        <v>55.13</v>
      </c>
      <c r="B311" s="141" t="s">
        <v>517</v>
      </c>
      <c r="C311" s="142" t="s">
        <v>518</v>
      </c>
      <c r="D311" s="143">
        <v>2138.1799999999998</v>
      </c>
      <c r="E311" s="143">
        <v>1438.83</v>
      </c>
      <c r="F311" s="143">
        <v>699.35</v>
      </c>
      <c r="G311" s="143"/>
      <c r="H311" s="144">
        <v>24293.03</v>
      </c>
      <c r="I311" s="144">
        <v>18776.78</v>
      </c>
      <c r="J311" s="144">
        <v>5516.25</v>
      </c>
      <c r="K311" s="144"/>
      <c r="L311" s="356">
        <v>11.361545800634184</v>
      </c>
      <c r="M311" s="356">
        <v>13.05</v>
      </c>
      <c r="N311" s="356">
        <v>7.8876814184599979</v>
      </c>
      <c r="O311" s="356" t="s">
        <v>135</v>
      </c>
      <c r="P311" s="145"/>
      <c r="Q311" s="145"/>
      <c r="R311" s="145">
        <v>5</v>
      </c>
    </row>
    <row r="312" spans="1:18" ht="12.75">
      <c r="A312" s="428" t="s">
        <v>519</v>
      </c>
      <c r="B312" s="429"/>
      <c r="C312" s="429"/>
      <c r="D312" s="429"/>
      <c r="E312" s="429"/>
      <c r="F312" s="429"/>
      <c r="G312" s="429"/>
      <c r="H312" s="429"/>
      <c r="I312" s="429"/>
      <c r="J312" s="429"/>
      <c r="K312" s="429"/>
      <c r="L312" s="429"/>
      <c r="M312" s="429"/>
      <c r="N312" s="429"/>
      <c r="O312" s="429"/>
      <c r="P312" s="429"/>
      <c r="Q312" s="429"/>
      <c r="R312" s="429"/>
    </row>
    <row r="313" spans="1:18" ht="24">
      <c r="A313" s="135">
        <v>55.14</v>
      </c>
      <c r="B313" s="128" t="s">
        <v>520</v>
      </c>
      <c r="C313" s="136" t="s">
        <v>521</v>
      </c>
      <c r="D313" s="137">
        <v>9932.59</v>
      </c>
      <c r="E313" s="137">
        <v>2175.1999999999998</v>
      </c>
      <c r="F313" s="137">
        <v>4991.63</v>
      </c>
      <c r="G313" s="137">
        <v>2765.76</v>
      </c>
      <c r="H313" s="138">
        <v>84968.02</v>
      </c>
      <c r="I313" s="138">
        <v>28387.29</v>
      </c>
      <c r="J313" s="138">
        <v>39330.300000000003</v>
      </c>
      <c r="K313" s="138">
        <v>17250.43</v>
      </c>
      <c r="L313" s="357">
        <v>8.5544676665401482</v>
      </c>
      <c r="M313" s="357">
        <v>13.05</v>
      </c>
      <c r="N313" s="357">
        <v>7.8792498642727935</v>
      </c>
      <c r="O313" s="357">
        <v>6.2371391588568779</v>
      </c>
      <c r="P313" s="139"/>
      <c r="Q313" s="139"/>
      <c r="R313" s="139">
        <v>6</v>
      </c>
    </row>
    <row r="314" spans="1:18" ht="24">
      <c r="A314" s="140">
        <v>55.15</v>
      </c>
      <c r="B314" s="141" t="s">
        <v>522</v>
      </c>
      <c r="C314" s="142" t="s">
        <v>523</v>
      </c>
      <c r="D314" s="143">
        <v>7888.63</v>
      </c>
      <c r="E314" s="143">
        <v>1647.2</v>
      </c>
      <c r="F314" s="143">
        <v>743.14</v>
      </c>
      <c r="G314" s="143">
        <v>5498.29</v>
      </c>
      <c r="H314" s="144">
        <v>57055.75</v>
      </c>
      <c r="I314" s="144">
        <v>21496.63</v>
      </c>
      <c r="J314" s="144">
        <v>5832</v>
      </c>
      <c r="K314" s="144">
        <v>29727.119999999999</v>
      </c>
      <c r="L314" s="356">
        <v>7.2326563674554389</v>
      </c>
      <c r="M314" s="356">
        <v>13.05</v>
      </c>
      <c r="N314" s="356">
        <v>7.8477810372204431</v>
      </c>
      <c r="O314" s="356">
        <v>5.4066118738735129</v>
      </c>
      <c r="P314" s="145"/>
      <c r="Q314" s="145"/>
      <c r="R314" s="145">
        <v>6</v>
      </c>
    </row>
    <row r="315" spans="1:18" ht="12.75">
      <c r="A315" s="428" t="s">
        <v>524</v>
      </c>
      <c r="B315" s="429"/>
      <c r="C315" s="429"/>
      <c r="D315" s="429"/>
      <c r="E315" s="429"/>
      <c r="F315" s="429"/>
      <c r="G315" s="429"/>
      <c r="H315" s="429"/>
      <c r="I315" s="429"/>
      <c r="J315" s="429"/>
      <c r="K315" s="429"/>
      <c r="L315" s="429"/>
      <c r="M315" s="429"/>
      <c r="N315" s="429"/>
      <c r="O315" s="429"/>
      <c r="P315" s="429"/>
      <c r="Q315" s="429"/>
      <c r="R315" s="429"/>
    </row>
    <row r="316" spans="1:18">
      <c r="A316" s="135">
        <v>55.16</v>
      </c>
      <c r="B316" s="128" t="s">
        <v>525</v>
      </c>
      <c r="C316" s="136" t="s">
        <v>526</v>
      </c>
      <c r="D316" s="137">
        <v>1275.67</v>
      </c>
      <c r="E316" s="137">
        <v>364.22</v>
      </c>
      <c r="F316" s="137">
        <v>12.59</v>
      </c>
      <c r="G316" s="137">
        <v>898.86</v>
      </c>
      <c r="H316" s="138">
        <v>12117.89</v>
      </c>
      <c r="I316" s="138">
        <v>4753.0600000000004</v>
      </c>
      <c r="J316" s="138">
        <v>63.68</v>
      </c>
      <c r="K316" s="138">
        <v>7301.15</v>
      </c>
      <c r="L316" s="357">
        <v>9.4992356957520343</v>
      </c>
      <c r="M316" s="357">
        <v>13.05</v>
      </c>
      <c r="N316" s="357">
        <v>5.057982525814138</v>
      </c>
      <c r="O316" s="357">
        <v>8.1226776138664523</v>
      </c>
      <c r="P316" s="139"/>
      <c r="Q316" s="139"/>
      <c r="R316" s="139">
        <v>7</v>
      </c>
    </row>
    <row r="317" spans="1:18" ht="12.75">
      <c r="A317" s="126"/>
      <c r="B317" s="132"/>
      <c r="C317" s="131"/>
      <c r="D317" s="133"/>
      <c r="E317" s="133"/>
      <c r="F317" s="133"/>
      <c r="G317" s="133"/>
      <c r="H317" s="134"/>
      <c r="I317" s="134"/>
      <c r="J317" s="134"/>
      <c r="K317" s="134"/>
      <c r="L317" s="355"/>
      <c r="M317" s="355"/>
      <c r="N317" s="355"/>
      <c r="O317" s="354"/>
      <c r="P317" s="125"/>
      <c r="Q317" s="125"/>
      <c r="R317" s="125"/>
    </row>
    <row r="318" spans="1:18">
      <c r="A318" s="106"/>
      <c r="B318" s="109"/>
      <c r="C318" s="106"/>
      <c r="D318" s="106"/>
      <c r="E318" s="106"/>
      <c r="F318" s="106"/>
      <c r="G318" s="106"/>
      <c r="H318" s="108"/>
      <c r="I318" s="108"/>
      <c r="J318" s="108"/>
      <c r="K318" s="108"/>
      <c r="O318" s="353"/>
      <c r="P318" s="106"/>
      <c r="Q318" s="106"/>
      <c r="R318" s="106"/>
    </row>
    <row r="319" spans="1:18">
      <c r="O319" s="353"/>
    </row>
    <row r="320" spans="1:18">
      <c r="O320" s="352"/>
    </row>
    <row r="321" spans="1:18" ht="23.25">
      <c r="A321" s="61"/>
      <c r="B321" s="60"/>
      <c r="C321" s="59" t="s">
        <v>527</v>
      </c>
      <c r="D321" s="45"/>
      <c r="E321" s="45"/>
      <c r="F321" s="45"/>
      <c r="G321" s="45"/>
      <c r="H321" s="58"/>
      <c r="I321" s="58"/>
      <c r="J321" s="58"/>
      <c r="K321" s="58"/>
      <c r="L321" s="351"/>
      <c r="M321" s="351"/>
      <c r="N321" s="351"/>
      <c r="O321" s="350"/>
    </row>
    <row r="322" spans="1:18" ht="12.75">
      <c r="A322" s="428" t="s">
        <v>528</v>
      </c>
      <c r="B322" s="429"/>
      <c r="C322" s="429"/>
      <c r="D322" s="429"/>
      <c r="E322" s="429"/>
      <c r="F322" s="429"/>
      <c r="G322" s="429"/>
      <c r="H322" s="429"/>
      <c r="I322" s="429"/>
      <c r="J322" s="429"/>
      <c r="K322" s="429"/>
      <c r="L322" s="429"/>
      <c r="M322" s="429"/>
      <c r="N322" s="429"/>
      <c r="O322" s="429"/>
      <c r="P322" s="429"/>
      <c r="Q322" s="429"/>
      <c r="R322" s="429"/>
    </row>
    <row r="323" spans="1:18" ht="24">
      <c r="A323" s="156">
        <v>56.1</v>
      </c>
      <c r="B323" s="149" t="s">
        <v>529</v>
      </c>
      <c r="C323" s="157" t="s">
        <v>530</v>
      </c>
      <c r="D323" s="158">
        <v>1432.91</v>
      </c>
      <c r="E323" s="158">
        <v>1256.4000000000001</v>
      </c>
      <c r="F323" s="158">
        <v>176.51</v>
      </c>
      <c r="G323" s="158"/>
      <c r="H323" s="159">
        <v>17781.03</v>
      </c>
      <c r="I323" s="159">
        <v>16396.34</v>
      </c>
      <c r="J323" s="159">
        <v>1384.69</v>
      </c>
      <c r="K323" s="159"/>
      <c r="L323" s="357">
        <v>12.409034761429536</v>
      </c>
      <c r="M323" s="357">
        <v>13.05</v>
      </c>
      <c r="N323" s="357">
        <v>7.8448246558268657</v>
      </c>
      <c r="O323" s="357" t="s">
        <v>135</v>
      </c>
      <c r="P323" s="160"/>
      <c r="Q323" s="160"/>
      <c r="R323" s="160">
        <v>1</v>
      </c>
    </row>
    <row r="324" spans="1:18" ht="24">
      <c r="A324" s="156">
        <v>56.2</v>
      </c>
      <c r="B324" s="149" t="s">
        <v>531</v>
      </c>
      <c r="C324" s="157" t="s">
        <v>532</v>
      </c>
      <c r="D324" s="158">
        <v>3893.11</v>
      </c>
      <c r="E324" s="158">
        <v>3563.6</v>
      </c>
      <c r="F324" s="158">
        <v>329.51</v>
      </c>
      <c r="G324" s="158"/>
      <c r="H324" s="159">
        <v>49097.919999999998</v>
      </c>
      <c r="I324" s="159">
        <v>46506.45</v>
      </c>
      <c r="J324" s="159">
        <v>2591.4699999999998</v>
      </c>
      <c r="K324" s="159"/>
      <c r="L324" s="357">
        <v>12.611490556393218</v>
      </c>
      <c r="M324" s="357">
        <v>13.05</v>
      </c>
      <c r="N324" s="357">
        <v>7.8646171588115683</v>
      </c>
      <c r="O324" s="357" t="s">
        <v>135</v>
      </c>
      <c r="P324" s="160"/>
      <c r="Q324" s="160"/>
      <c r="R324" s="160">
        <v>1</v>
      </c>
    </row>
    <row r="325" spans="1:18">
      <c r="A325" s="161">
        <v>56.3</v>
      </c>
      <c r="B325" s="162" t="s">
        <v>533</v>
      </c>
      <c r="C325" s="163" t="s">
        <v>534</v>
      </c>
      <c r="D325" s="164">
        <v>710.43</v>
      </c>
      <c r="E325" s="164">
        <v>710.43</v>
      </c>
      <c r="F325" s="164"/>
      <c r="G325" s="164"/>
      <c r="H325" s="165">
        <v>9271.26</v>
      </c>
      <c r="I325" s="165">
        <v>9271.26</v>
      </c>
      <c r="J325" s="165"/>
      <c r="K325" s="165"/>
      <c r="L325" s="356">
        <v>13.050209028334953</v>
      </c>
      <c r="M325" s="356">
        <v>13.05</v>
      </c>
      <c r="N325" s="356" t="s">
        <v>135</v>
      </c>
      <c r="O325" s="356" t="s">
        <v>135</v>
      </c>
      <c r="P325" s="166"/>
      <c r="Q325" s="166"/>
      <c r="R325" s="166">
        <v>1</v>
      </c>
    </row>
    <row r="326" spans="1:18" ht="12.75">
      <c r="A326" s="428" t="s">
        <v>535</v>
      </c>
      <c r="B326" s="429"/>
      <c r="C326" s="429"/>
      <c r="D326" s="429"/>
      <c r="E326" s="429"/>
      <c r="F326" s="429"/>
      <c r="G326" s="429"/>
      <c r="H326" s="429"/>
      <c r="I326" s="429"/>
      <c r="J326" s="429"/>
      <c r="K326" s="429"/>
      <c r="L326" s="429"/>
      <c r="M326" s="429"/>
      <c r="N326" s="429"/>
      <c r="O326" s="429"/>
      <c r="P326" s="429"/>
      <c r="Q326" s="429"/>
      <c r="R326" s="429"/>
    </row>
    <row r="327" spans="1:18">
      <c r="A327" s="156">
        <v>56.4</v>
      </c>
      <c r="B327" s="149" t="s">
        <v>536</v>
      </c>
      <c r="C327" s="157" t="s">
        <v>537</v>
      </c>
      <c r="D327" s="158">
        <v>334.28</v>
      </c>
      <c r="E327" s="158">
        <v>316.70999999999998</v>
      </c>
      <c r="F327" s="158">
        <v>17.57</v>
      </c>
      <c r="G327" s="158"/>
      <c r="H327" s="159">
        <v>4266.55</v>
      </c>
      <c r="I327" s="159">
        <v>4133.16</v>
      </c>
      <c r="J327" s="159">
        <v>133.38999999999999</v>
      </c>
      <c r="K327" s="159"/>
      <c r="L327" s="357">
        <v>12.763401938494678</v>
      </c>
      <c r="M327" s="357">
        <v>13.05</v>
      </c>
      <c r="N327" s="357">
        <v>7.5919180421172445</v>
      </c>
      <c r="O327" s="357" t="s">
        <v>135</v>
      </c>
      <c r="P327" s="160"/>
      <c r="Q327" s="160"/>
      <c r="R327" s="160">
        <v>2</v>
      </c>
    </row>
    <row r="328" spans="1:18">
      <c r="A328" s="161">
        <v>56.5</v>
      </c>
      <c r="B328" s="162" t="s">
        <v>538</v>
      </c>
      <c r="C328" s="163" t="s">
        <v>539</v>
      </c>
      <c r="D328" s="164">
        <v>475.78</v>
      </c>
      <c r="E328" s="164">
        <v>441.73</v>
      </c>
      <c r="F328" s="164">
        <v>34.049999999999997</v>
      </c>
      <c r="G328" s="164"/>
      <c r="H328" s="165">
        <v>6023.12</v>
      </c>
      <c r="I328" s="165">
        <v>5764.67</v>
      </c>
      <c r="J328" s="165">
        <v>258.45</v>
      </c>
      <c r="K328" s="165"/>
      <c r="L328" s="356">
        <v>12.659464458363109</v>
      </c>
      <c r="M328" s="356">
        <v>13.05</v>
      </c>
      <c r="N328" s="356">
        <v>7.5903083700440535</v>
      </c>
      <c r="O328" s="356" t="s">
        <v>135</v>
      </c>
      <c r="P328" s="166"/>
      <c r="Q328" s="166"/>
      <c r="R328" s="166">
        <v>2</v>
      </c>
    </row>
    <row r="329" spans="1:18" ht="12.75">
      <c r="A329" s="428" t="s">
        <v>540</v>
      </c>
      <c r="B329" s="429"/>
      <c r="C329" s="429"/>
      <c r="D329" s="429"/>
      <c r="E329" s="429"/>
      <c r="F329" s="429"/>
      <c r="G329" s="429"/>
      <c r="H329" s="429"/>
      <c r="I329" s="429"/>
      <c r="J329" s="429"/>
      <c r="K329" s="429"/>
      <c r="L329" s="429"/>
      <c r="M329" s="429"/>
      <c r="N329" s="429"/>
      <c r="O329" s="429"/>
      <c r="P329" s="429"/>
      <c r="Q329" s="429"/>
      <c r="R329" s="429"/>
    </row>
    <row r="330" spans="1:18" ht="24">
      <c r="A330" s="156">
        <v>56.6</v>
      </c>
      <c r="B330" s="149" t="s">
        <v>541</v>
      </c>
      <c r="C330" s="157" t="s">
        <v>542</v>
      </c>
      <c r="D330" s="158">
        <v>2691.68</v>
      </c>
      <c r="E330" s="158">
        <v>2527.25</v>
      </c>
      <c r="F330" s="158">
        <v>164.43</v>
      </c>
      <c r="G330" s="158"/>
      <c r="H330" s="159">
        <v>34278.03</v>
      </c>
      <c r="I330" s="159">
        <v>32981.050000000003</v>
      </c>
      <c r="J330" s="159">
        <v>1296.98</v>
      </c>
      <c r="K330" s="159"/>
      <c r="L330" s="357">
        <v>12.734808743981453</v>
      </c>
      <c r="M330" s="357">
        <v>13.05</v>
      </c>
      <c r="N330" s="357">
        <v>7.887733381986255</v>
      </c>
      <c r="O330" s="357" t="s">
        <v>135</v>
      </c>
      <c r="P330" s="160"/>
      <c r="Q330" s="160"/>
      <c r="R330" s="160">
        <v>3</v>
      </c>
    </row>
    <row r="331" spans="1:18" ht="24">
      <c r="A331" s="156">
        <v>56.7</v>
      </c>
      <c r="B331" s="149" t="s">
        <v>543</v>
      </c>
      <c r="C331" s="157" t="s">
        <v>544</v>
      </c>
      <c r="D331" s="158">
        <v>909.81</v>
      </c>
      <c r="E331" s="158">
        <v>909.81</v>
      </c>
      <c r="F331" s="158"/>
      <c r="G331" s="158"/>
      <c r="H331" s="159">
        <v>11873.15</v>
      </c>
      <c r="I331" s="159">
        <v>11873.15</v>
      </c>
      <c r="J331" s="159"/>
      <c r="K331" s="159"/>
      <c r="L331" s="357">
        <v>13.050142337411108</v>
      </c>
      <c r="M331" s="357">
        <v>13.05</v>
      </c>
      <c r="N331" s="357" t="s">
        <v>135</v>
      </c>
      <c r="O331" s="357" t="s">
        <v>135</v>
      </c>
      <c r="P331" s="160"/>
      <c r="Q331" s="160"/>
      <c r="R331" s="160">
        <v>3</v>
      </c>
    </row>
    <row r="332" spans="1:18" ht="24">
      <c r="A332" s="161">
        <v>56.8</v>
      </c>
      <c r="B332" s="162" t="s">
        <v>545</v>
      </c>
      <c r="C332" s="163" t="s">
        <v>546</v>
      </c>
      <c r="D332" s="164">
        <v>751.8</v>
      </c>
      <c r="E332" s="164">
        <v>751.8</v>
      </c>
      <c r="F332" s="164"/>
      <c r="G332" s="164"/>
      <c r="H332" s="165">
        <v>9810.6</v>
      </c>
      <c r="I332" s="165">
        <v>9810.6</v>
      </c>
      <c r="J332" s="165"/>
      <c r="K332" s="165"/>
      <c r="L332" s="356">
        <v>13.049481245011972</v>
      </c>
      <c r="M332" s="356">
        <v>13.05</v>
      </c>
      <c r="N332" s="356" t="s">
        <v>135</v>
      </c>
      <c r="O332" s="356" t="s">
        <v>135</v>
      </c>
      <c r="P332" s="166"/>
      <c r="Q332" s="166"/>
      <c r="R332" s="166">
        <v>3</v>
      </c>
    </row>
    <row r="333" spans="1:18" ht="12.75">
      <c r="A333" s="428" t="s">
        <v>547</v>
      </c>
      <c r="B333" s="429"/>
      <c r="C333" s="429"/>
      <c r="D333" s="429"/>
      <c r="E333" s="429"/>
      <c r="F333" s="429"/>
      <c r="G333" s="429"/>
      <c r="H333" s="429"/>
      <c r="I333" s="429"/>
      <c r="J333" s="429"/>
      <c r="K333" s="429"/>
      <c r="L333" s="429"/>
      <c r="M333" s="429"/>
      <c r="N333" s="429"/>
      <c r="O333" s="429"/>
      <c r="P333" s="429"/>
      <c r="Q333" s="429"/>
      <c r="R333" s="429"/>
    </row>
    <row r="334" spans="1:18" ht="24">
      <c r="A334" s="156">
        <v>56.9</v>
      </c>
      <c r="B334" s="149" t="s">
        <v>548</v>
      </c>
      <c r="C334" s="157" t="s">
        <v>549</v>
      </c>
      <c r="D334" s="158">
        <v>7644.78</v>
      </c>
      <c r="E334" s="158">
        <v>5474.2</v>
      </c>
      <c r="F334" s="158">
        <v>13.64</v>
      </c>
      <c r="G334" s="158">
        <v>2156.94</v>
      </c>
      <c r="H334" s="159">
        <v>79618.27</v>
      </c>
      <c r="I334" s="159">
        <v>71437.3</v>
      </c>
      <c r="J334" s="159">
        <v>68.98</v>
      </c>
      <c r="K334" s="159">
        <v>8111.99</v>
      </c>
      <c r="L334" s="357">
        <v>10.414723510683107</v>
      </c>
      <c r="M334" s="357">
        <v>13.05</v>
      </c>
      <c r="N334" s="357">
        <v>5.0571847507331382</v>
      </c>
      <c r="O334" s="357">
        <v>3.7608788376125437</v>
      </c>
      <c r="P334" s="160"/>
      <c r="Q334" s="160"/>
      <c r="R334" s="160">
        <v>4</v>
      </c>
    </row>
    <row r="335" spans="1:18" ht="24">
      <c r="A335" s="156">
        <v>56.1</v>
      </c>
      <c r="B335" s="149" t="s">
        <v>550</v>
      </c>
      <c r="C335" s="157" t="s">
        <v>551</v>
      </c>
      <c r="D335" s="158">
        <v>13456.4</v>
      </c>
      <c r="E335" s="158">
        <v>9864.4</v>
      </c>
      <c r="F335" s="158">
        <v>19.93</v>
      </c>
      <c r="G335" s="158">
        <v>3572.07</v>
      </c>
      <c r="H335" s="159">
        <v>141905.14000000001</v>
      </c>
      <c r="I335" s="159">
        <v>128728.6</v>
      </c>
      <c r="J335" s="159">
        <v>100.82</v>
      </c>
      <c r="K335" s="159">
        <v>13075.72</v>
      </c>
      <c r="L335" s="357">
        <v>10.545550072827801</v>
      </c>
      <c r="M335" s="357">
        <v>13.05</v>
      </c>
      <c r="N335" s="357">
        <v>5.058705469141997</v>
      </c>
      <c r="O335" s="357">
        <v>3.660544166267738</v>
      </c>
      <c r="P335" s="160"/>
      <c r="Q335" s="160"/>
      <c r="R335" s="160">
        <v>4</v>
      </c>
    </row>
    <row r="336" spans="1:18" ht="24">
      <c r="A336" s="161">
        <v>56.11</v>
      </c>
      <c r="B336" s="162" t="s">
        <v>552</v>
      </c>
      <c r="C336" s="163" t="s">
        <v>553</v>
      </c>
      <c r="D336" s="164">
        <v>18747.86</v>
      </c>
      <c r="E336" s="164">
        <v>10514.8</v>
      </c>
      <c r="F336" s="164">
        <v>9.44</v>
      </c>
      <c r="G336" s="164">
        <v>8223.6200000000008</v>
      </c>
      <c r="H336" s="165">
        <v>177438.05</v>
      </c>
      <c r="I336" s="165">
        <v>137216.20000000001</v>
      </c>
      <c r="J336" s="165">
        <v>47.76</v>
      </c>
      <c r="K336" s="165">
        <v>40174.089999999997</v>
      </c>
      <c r="L336" s="356">
        <v>9.4644428750801417</v>
      </c>
      <c r="M336" s="356">
        <v>13.05</v>
      </c>
      <c r="N336" s="356">
        <v>5.0593220338983054</v>
      </c>
      <c r="O336" s="356">
        <v>4.8852074877000629</v>
      </c>
      <c r="P336" s="166"/>
      <c r="Q336" s="166"/>
      <c r="R336" s="166">
        <v>4</v>
      </c>
    </row>
    <row r="337" spans="1:18" ht="12.75">
      <c r="A337" s="428" t="s">
        <v>554</v>
      </c>
      <c r="B337" s="429"/>
      <c r="C337" s="429"/>
      <c r="D337" s="429"/>
      <c r="E337" s="429"/>
      <c r="F337" s="429"/>
      <c r="G337" s="429"/>
      <c r="H337" s="429"/>
      <c r="I337" s="429"/>
      <c r="J337" s="429"/>
      <c r="K337" s="429"/>
      <c r="L337" s="429"/>
      <c r="M337" s="429"/>
      <c r="N337" s="429"/>
      <c r="O337" s="429"/>
      <c r="P337" s="429"/>
      <c r="Q337" s="429"/>
      <c r="R337" s="429"/>
    </row>
    <row r="338" spans="1:18" ht="24">
      <c r="A338" s="156">
        <v>56.12</v>
      </c>
      <c r="B338" s="149" t="s">
        <v>555</v>
      </c>
      <c r="C338" s="157" t="s">
        <v>556</v>
      </c>
      <c r="D338" s="158">
        <v>5223</v>
      </c>
      <c r="E338" s="158">
        <v>3590.43</v>
      </c>
      <c r="F338" s="158">
        <v>19.93</v>
      </c>
      <c r="G338" s="158">
        <v>1612.64</v>
      </c>
      <c r="H338" s="159">
        <v>53397.14</v>
      </c>
      <c r="I338" s="159">
        <v>46856.52</v>
      </c>
      <c r="J338" s="159">
        <v>100.82</v>
      </c>
      <c r="K338" s="159">
        <v>6439.8</v>
      </c>
      <c r="L338" s="357">
        <v>10.223461612100325</v>
      </c>
      <c r="M338" s="357">
        <v>13.05</v>
      </c>
      <c r="N338" s="357">
        <v>5.058705469141997</v>
      </c>
      <c r="O338" s="357">
        <v>3.9933277110824483</v>
      </c>
      <c r="P338" s="160"/>
      <c r="Q338" s="160"/>
      <c r="R338" s="160">
        <v>5</v>
      </c>
    </row>
    <row r="339" spans="1:18" ht="24">
      <c r="A339" s="161">
        <v>56.13</v>
      </c>
      <c r="B339" s="162" t="s">
        <v>557</v>
      </c>
      <c r="C339" s="163" t="s">
        <v>558</v>
      </c>
      <c r="D339" s="164">
        <v>5509.33</v>
      </c>
      <c r="E339" s="164">
        <v>4323.2299999999996</v>
      </c>
      <c r="F339" s="164">
        <v>19.93</v>
      </c>
      <c r="G339" s="164">
        <v>1166.17</v>
      </c>
      <c r="H339" s="165">
        <v>60489.58</v>
      </c>
      <c r="I339" s="165">
        <v>56416.42</v>
      </c>
      <c r="J339" s="165">
        <v>100.82</v>
      </c>
      <c r="K339" s="165">
        <v>3972.34</v>
      </c>
      <c r="L339" s="356">
        <v>10.979480263480315</v>
      </c>
      <c r="M339" s="356">
        <v>13.05</v>
      </c>
      <c r="N339" s="356">
        <v>5.058705469141997</v>
      </c>
      <c r="O339" s="356">
        <v>3.4063129732371782</v>
      </c>
      <c r="P339" s="166"/>
      <c r="Q339" s="166"/>
      <c r="R339" s="166">
        <v>5</v>
      </c>
    </row>
    <row r="340" spans="1:18" ht="12.75">
      <c r="A340" s="428" t="s">
        <v>559</v>
      </c>
      <c r="B340" s="429"/>
      <c r="C340" s="429"/>
      <c r="D340" s="429"/>
      <c r="E340" s="429"/>
      <c r="F340" s="429"/>
      <c r="G340" s="429"/>
      <c r="H340" s="429"/>
      <c r="I340" s="429"/>
      <c r="J340" s="429"/>
      <c r="K340" s="429"/>
      <c r="L340" s="429"/>
      <c r="M340" s="429"/>
      <c r="N340" s="429"/>
      <c r="O340" s="429"/>
      <c r="P340" s="429"/>
      <c r="Q340" s="429"/>
      <c r="R340" s="429"/>
    </row>
    <row r="341" spans="1:18">
      <c r="A341" s="161">
        <v>56.14</v>
      </c>
      <c r="B341" s="162" t="s">
        <v>560</v>
      </c>
      <c r="C341" s="163" t="s">
        <v>561</v>
      </c>
      <c r="D341" s="164">
        <v>1224.8</v>
      </c>
      <c r="E341" s="164">
        <v>1053.17</v>
      </c>
      <c r="F341" s="164">
        <v>3.15</v>
      </c>
      <c r="G341" s="164">
        <v>168.48</v>
      </c>
      <c r="H341" s="165">
        <v>14320.79</v>
      </c>
      <c r="I341" s="165">
        <v>13743.5</v>
      </c>
      <c r="J341" s="165">
        <v>15.92</v>
      </c>
      <c r="K341" s="165">
        <v>561.37</v>
      </c>
      <c r="L341" s="356">
        <v>11.692349771391248</v>
      </c>
      <c r="M341" s="356">
        <v>13.05</v>
      </c>
      <c r="N341" s="356">
        <v>5.0539682539682538</v>
      </c>
      <c r="O341" s="356">
        <v>3.3319681861348531</v>
      </c>
      <c r="P341" s="166"/>
      <c r="Q341" s="166"/>
      <c r="R341" s="166">
        <v>6</v>
      </c>
    </row>
    <row r="342" spans="1:18" ht="12.75">
      <c r="A342" s="428" t="s">
        <v>562</v>
      </c>
      <c r="B342" s="429"/>
      <c r="C342" s="429"/>
      <c r="D342" s="429"/>
      <c r="E342" s="429"/>
      <c r="F342" s="429"/>
      <c r="G342" s="429"/>
      <c r="H342" s="429"/>
      <c r="I342" s="429"/>
      <c r="J342" s="429"/>
      <c r="K342" s="429"/>
      <c r="L342" s="429"/>
      <c r="M342" s="429"/>
      <c r="N342" s="429"/>
      <c r="O342" s="429"/>
      <c r="P342" s="429"/>
      <c r="Q342" s="429"/>
      <c r="R342" s="429"/>
    </row>
    <row r="343" spans="1:18" ht="24">
      <c r="A343" s="156">
        <v>56.15</v>
      </c>
      <c r="B343" s="149" t="s">
        <v>563</v>
      </c>
      <c r="C343" s="157" t="s">
        <v>564</v>
      </c>
      <c r="D343" s="158">
        <v>10051.049999999999</v>
      </c>
      <c r="E343" s="158">
        <v>5434.14</v>
      </c>
      <c r="F343" s="158">
        <v>20.59</v>
      </c>
      <c r="G343" s="158">
        <v>4596.32</v>
      </c>
      <c r="H343" s="159">
        <v>96608.2</v>
      </c>
      <c r="I343" s="159">
        <v>70913.84</v>
      </c>
      <c r="J343" s="159">
        <v>121.78</v>
      </c>
      <c r="K343" s="159">
        <v>25572.58</v>
      </c>
      <c r="L343" s="357">
        <v>9.611752006009322</v>
      </c>
      <c r="M343" s="357">
        <v>13.05</v>
      </c>
      <c r="N343" s="357">
        <v>5.9145216124332203</v>
      </c>
      <c r="O343" s="357">
        <v>5.5637074877293147</v>
      </c>
      <c r="P343" s="160"/>
      <c r="Q343" s="160"/>
      <c r="R343" s="160">
        <v>7</v>
      </c>
    </row>
    <row r="344" spans="1:18" ht="24">
      <c r="A344" s="156">
        <v>56.16</v>
      </c>
      <c r="B344" s="149" t="s">
        <v>565</v>
      </c>
      <c r="C344" s="157" t="s">
        <v>566</v>
      </c>
      <c r="D344" s="158">
        <v>8992.01</v>
      </c>
      <c r="E344" s="158">
        <v>4831.6099999999997</v>
      </c>
      <c r="F344" s="158">
        <v>20.59</v>
      </c>
      <c r="G344" s="158">
        <v>4139.8100000000004</v>
      </c>
      <c r="H344" s="159">
        <v>86683.16</v>
      </c>
      <c r="I344" s="159">
        <v>63054.66</v>
      </c>
      <c r="J344" s="159">
        <v>121.78</v>
      </c>
      <c r="K344" s="159">
        <v>23506.720000000001</v>
      </c>
      <c r="L344" s="357">
        <v>9.6400204181267597</v>
      </c>
      <c r="M344" s="357">
        <v>13.05</v>
      </c>
      <c r="N344" s="357">
        <v>5.9145216124332203</v>
      </c>
      <c r="O344" s="357">
        <v>5.6782122851048715</v>
      </c>
      <c r="P344" s="160"/>
      <c r="Q344" s="160"/>
      <c r="R344" s="160">
        <v>7</v>
      </c>
    </row>
    <row r="345" spans="1:18" ht="24">
      <c r="A345" s="161">
        <v>56.17</v>
      </c>
      <c r="B345" s="162" t="s">
        <v>567</v>
      </c>
      <c r="C345" s="163" t="s">
        <v>568</v>
      </c>
      <c r="D345" s="164">
        <v>6951.11</v>
      </c>
      <c r="E345" s="164">
        <v>4454.25</v>
      </c>
      <c r="F345" s="164">
        <v>16.350000000000001</v>
      </c>
      <c r="G345" s="164">
        <v>2480.5100000000002</v>
      </c>
      <c r="H345" s="165">
        <v>73439.89</v>
      </c>
      <c r="I345" s="165">
        <v>58127.61</v>
      </c>
      <c r="J345" s="165">
        <v>97.53</v>
      </c>
      <c r="K345" s="165">
        <v>15214.75</v>
      </c>
      <c r="L345" s="356">
        <v>10.565203255307425</v>
      </c>
      <c r="M345" s="356">
        <v>13.05</v>
      </c>
      <c r="N345" s="356">
        <v>5.9651376146788984</v>
      </c>
      <c r="O345" s="356">
        <v>6.133718469185772</v>
      </c>
      <c r="P345" s="166"/>
      <c r="Q345" s="166"/>
      <c r="R345" s="166">
        <v>7</v>
      </c>
    </row>
    <row r="346" spans="1:18" ht="12.75">
      <c r="A346" s="428" t="s">
        <v>569</v>
      </c>
      <c r="B346" s="429"/>
      <c r="C346" s="429"/>
      <c r="D346" s="429"/>
      <c r="E346" s="429"/>
      <c r="F346" s="429"/>
      <c r="G346" s="429"/>
      <c r="H346" s="429"/>
      <c r="I346" s="429"/>
      <c r="J346" s="429"/>
      <c r="K346" s="429"/>
      <c r="L346" s="429"/>
      <c r="M346" s="429"/>
      <c r="N346" s="429"/>
      <c r="O346" s="429"/>
      <c r="P346" s="429"/>
      <c r="Q346" s="429"/>
      <c r="R346" s="429"/>
    </row>
    <row r="347" spans="1:18" ht="24">
      <c r="A347" s="156">
        <v>56.18</v>
      </c>
      <c r="B347" s="149" t="s">
        <v>570</v>
      </c>
      <c r="C347" s="157" t="s">
        <v>571</v>
      </c>
      <c r="D347" s="158">
        <v>7461.32</v>
      </c>
      <c r="E347" s="158">
        <v>2894.71</v>
      </c>
      <c r="F347" s="158">
        <v>31.23</v>
      </c>
      <c r="G347" s="158">
        <v>4535.38</v>
      </c>
      <c r="H347" s="159">
        <v>57291.92</v>
      </c>
      <c r="I347" s="159">
        <v>37774.92</v>
      </c>
      <c r="J347" s="159">
        <v>183.94</v>
      </c>
      <c r="K347" s="159">
        <v>19333.060000000001</v>
      </c>
      <c r="L347" s="357">
        <v>7.6785233711997343</v>
      </c>
      <c r="M347" s="357">
        <v>13.05</v>
      </c>
      <c r="N347" s="357">
        <v>5.8898495036823562</v>
      </c>
      <c r="O347" s="357">
        <v>4.2627210950350358</v>
      </c>
      <c r="P347" s="160"/>
      <c r="Q347" s="160"/>
      <c r="R347" s="160">
        <v>8</v>
      </c>
    </row>
    <row r="348" spans="1:18" ht="24">
      <c r="A348" s="156">
        <v>56.19</v>
      </c>
      <c r="B348" s="149" t="s">
        <v>572</v>
      </c>
      <c r="C348" s="157" t="s">
        <v>573</v>
      </c>
      <c r="D348" s="158">
        <v>1174.03</v>
      </c>
      <c r="E348" s="158">
        <v>1050.58</v>
      </c>
      <c r="F348" s="158">
        <v>46.07</v>
      </c>
      <c r="G348" s="158">
        <v>77.38</v>
      </c>
      <c r="H348" s="159">
        <v>14348.53</v>
      </c>
      <c r="I348" s="159">
        <v>13710.25</v>
      </c>
      <c r="J348" s="159">
        <v>307.22000000000003</v>
      </c>
      <c r="K348" s="159">
        <v>331.06</v>
      </c>
      <c r="L348" s="357">
        <v>12.221604217950139</v>
      </c>
      <c r="M348" s="357">
        <v>13.05</v>
      </c>
      <c r="N348" s="357">
        <v>6.6685478619492082</v>
      </c>
      <c r="O348" s="357">
        <v>4.2783665029723448</v>
      </c>
      <c r="P348" s="160"/>
      <c r="Q348" s="160"/>
      <c r="R348" s="160">
        <v>8</v>
      </c>
    </row>
    <row r="349" spans="1:18" ht="24">
      <c r="A349" s="161">
        <v>56.2</v>
      </c>
      <c r="B349" s="162" t="s">
        <v>574</v>
      </c>
      <c r="C349" s="163" t="s">
        <v>575</v>
      </c>
      <c r="D349" s="164">
        <v>2702.28</v>
      </c>
      <c r="E349" s="164">
        <v>789.51</v>
      </c>
      <c r="F349" s="164">
        <v>6.39</v>
      </c>
      <c r="G349" s="164">
        <v>1906.38</v>
      </c>
      <c r="H349" s="165">
        <v>23363.82</v>
      </c>
      <c r="I349" s="165">
        <v>10302.86</v>
      </c>
      <c r="J349" s="165">
        <v>37.9</v>
      </c>
      <c r="K349" s="165">
        <v>13023.06</v>
      </c>
      <c r="L349" s="356">
        <v>8.6459656290243778</v>
      </c>
      <c r="M349" s="356">
        <v>13.05</v>
      </c>
      <c r="N349" s="356">
        <v>5.9311424100156493</v>
      </c>
      <c r="O349" s="356">
        <v>6.8313033078399892</v>
      </c>
      <c r="P349" s="166"/>
      <c r="Q349" s="166"/>
      <c r="R349" s="166">
        <v>8</v>
      </c>
    </row>
    <row r="350" spans="1:18" ht="12.75">
      <c r="A350" s="428" t="s">
        <v>576</v>
      </c>
      <c r="B350" s="429"/>
      <c r="C350" s="429"/>
      <c r="D350" s="429"/>
      <c r="E350" s="429"/>
      <c r="F350" s="429"/>
      <c r="G350" s="429"/>
      <c r="H350" s="429"/>
      <c r="I350" s="429"/>
      <c r="J350" s="429"/>
      <c r="K350" s="429"/>
      <c r="L350" s="429"/>
      <c r="M350" s="429"/>
      <c r="N350" s="429"/>
      <c r="O350" s="429"/>
      <c r="P350" s="429"/>
      <c r="Q350" s="429"/>
      <c r="R350" s="429"/>
    </row>
    <row r="351" spans="1:18" ht="24">
      <c r="A351" s="156">
        <v>56.21</v>
      </c>
      <c r="B351" s="149" t="s">
        <v>577</v>
      </c>
      <c r="C351" s="157" t="s">
        <v>578</v>
      </c>
      <c r="D351" s="158">
        <v>2130.83</v>
      </c>
      <c r="E351" s="158">
        <v>1717.69</v>
      </c>
      <c r="F351" s="158">
        <v>413.14</v>
      </c>
      <c r="G351" s="158"/>
      <c r="H351" s="159">
        <v>25674.85</v>
      </c>
      <c r="I351" s="159">
        <v>22416.09</v>
      </c>
      <c r="J351" s="159">
        <v>3258.76</v>
      </c>
      <c r="K351" s="159"/>
      <c r="L351" s="357">
        <v>12.04922494990215</v>
      </c>
      <c r="M351" s="357">
        <v>13.05</v>
      </c>
      <c r="N351" s="357">
        <v>7.8877862225879856</v>
      </c>
      <c r="O351" s="357" t="s">
        <v>135</v>
      </c>
      <c r="P351" s="160"/>
      <c r="Q351" s="160"/>
      <c r="R351" s="160">
        <v>9</v>
      </c>
    </row>
    <row r="352" spans="1:18" ht="24">
      <c r="A352" s="156">
        <v>56.22</v>
      </c>
      <c r="B352" s="149" t="s">
        <v>579</v>
      </c>
      <c r="C352" s="157" t="s">
        <v>580</v>
      </c>
      <c r="D352" s="158">
        <v>4720.3100000000004</v>
      </c>
      <c r="E352" s="158">
        <v>4307.17</v>
      </c>
      <c r="F352" s="158">
        <v>413.14</v>
      </c>
      <c r="G352" s="158"/>
      <c r="H352" s="159">
        <v>59467.75</v>
      </c>
      <c r="I352" s="159">
        <v>56208.99</v>
      </c>
      <c r="J352" s="159">
        <v>3258.76</v>
      </c>
      <c r="K352" s="159"/>
      <c r="L352" s="357">
        <v>12.59827214738015</v>
      </c>
      <c r="M352" s="357">
        <v>13.05</v>
      </c>
      <c r="N352" s="357">
        <v>7.8877862225879856</v>
      </c>
      <c r="O352" s="357" t="s">
        <v>135</v>
      </c>
      <c r="P352" s="160"/>
      <c r="Q352" s="160"/>
      <c r="R352" s="160">
        <v>9</v>
      </c>
    </row>
    <row r="353" spans="1:18" ht="24">
      <c r="A353" s="156">
        <v>56.23</v>
      </c>
      <c r="B353" s="149" t="s">
        <v>581</v>
      </c>
      <c r="C353" s="157" t="s">
        <v>582</v>
      </c>
      <c r="D353" s="158">
        <v>1272.6099999999999</v>
      </c>
      <c r="E353" s="158">
        <v>1272.6099999999999</v>
      </c>
      <c r="F353" s="158"/>
      <c r="G353" s="158"/>
      <c r="H353" s="159">
        <v>16606.939999999999</v>
      </c>
      <c r="I353" s="159">
        <v>16606.939999999999</v>
      </c>
      <c r="J353" s="159"/>
      <c r="K353" s="159"/>
      <c r="L353" s="357">
        <v>13.04951241935864</v>
      </c>
      <c r="M353" s="357">
        <v>13.05</v>
      </c>
      <c r="N353" s="357" t="s">
        <v>135</v>
      </c>
      <c r="O353" s="357" t="s">
        <v>135</v>
      </c>
      <c r="P353" s="160"/>
      <c r="Q353" s="160"/>
      <c r="R353" s="160">
        <v>9</v>
      </c>
    </row>
    <row r="354" spans="1:18" ht="24">
      <c r="A354" s="161">
        <v>56.24</v>
      </c>
      <c r="B354" s="162" t="s">
        <v>583</v>
      </c>
      <c r="C354" s="163" t="s">
        <v>584</v>
      </c>
      <c r="D354" s="164">
        <v>639.63</v>
      </c>
      <c r="E354" s="164">
        <v>639.63</v>
      </c>
      <c r="F354" s="164"/>
      <c r="G354" s="164"/>
      <c r="H354" s="165">
        <v>8346.82</v>
      </c>
      <c r="I354" s="165">
        <v>8346.82</v>
      </c>
      <c r="J354" s="165"/>
      <c r="K354" s="165"/>
      <c r="L354" s="356">
        <v>13.049450463549238</v>
      </c>
      <c r="M354" s="356">
        <v>13.05</v>
      </c>
      <c r="N354" s="356" t="s">
        <v>135</v>
      </c>
      <c r="O354" s="356" t="s">
        <v>135</v>
      </c>
      <c r="P354" s="166"/>
      <c r="Q354" s="166"/>
      <c r="R354" s="166">
        <v>9</v>
      </c>
    </row>
    <row r="355" spans="1:18" ht="12.75">
      <c r="A355" s="428" t="s">
        <v>585</v>
      </c>
      <c r="B355" s="429"/>
      <c r="C355" s="429"/>
      <c r="D355" s="429"/>
      <c r="E355" s="429"/>
      <c r="F355" s="429"/>
      <c r="G355" s="429"/>
      <c r="H355" s="429"/>
      <c r="I355" s="429"/>
      <c r="J355" s="429"/>
      <c r="K355" s="429"/>
      <c r="L355" s="429"/>
      <c r="M355" s="429"/>
      <c r="N355" s="429"/>
      <c r="O355" s="429"/>
      <c r="P355" s="429"/>
      <c r="Q355" s="429"/>
      <c r="R355" s="429"/>
    </row>
    <row r="356" spans="1:18">
      <c r="A356" s="161">
        <v>56.25</v>
      </c>
      <c r="B356" s="162" t="s">
        <v>586</v>
      </c>
      <c r="C356" s="163" t="s">
        <v>587</v>
      </c>
      <c r="D356" s="164">
        <v>344.3</v>
      </c>
      <c r="E356" s="164">
        <v>344.3</v>
      </c>
      <c r="F356" s="164"/>
      <c r="G356" s="164"/>
      <c r="H356" s="165">
        <v>4492.92</v>
      </c>
      <c r="I356" s="165">
        <v>4492.92</v>
      </c>
      <c r="J356" s="165"/>
      <c r="K356" s="165"/>
      <c r="L356" s="356">
        <v>13.049433633459193</v>
      </c>
      <c r="M356" s="356">
        <v>13.05</v>
      </c>
      <c r="N356" s="356" t="s">
        <v>135</v>
      </c>
      <c r="O356" s="356" t="s">
        <v>135</v>
      </c>
      <c r="P356" s="166"/>
      <c r="Q356" s="166"/>
      <c r="R356" s="166">
        <v>10</v>
      </c>
    </row>
    <row r="357" spans="1:18" ht="12.75">
      <c r="A357" s="428" t="s">
        <v>588</v>
      </c>
      <c r="B357" s="429"/>
      <c r="C357" s="429"/>
      <c r="D357" s="429"/>
      <c r="E357" s="429"/>
      <c r="F357" s="429"/>
      <c r="G357" s="429"/>
      <c r="H357" s="429"/>
      <c r="I357" s="429"/>
      <c r="J357" s="429"/>
      <c r="K357" s="429"/>
      <c r="L357" s="429"/>
      <c r="M357" s="429"/>
      <c r="N357" s="429"/>
      <c r="O357" s="429"/>
      <c r="P357" s="429"/>
      <c r="Q357" s="429"/>
      <c r="R357" s="429"/>
    </row>
    <row r="358" spans="1:18">
      <c r="A358" s="161">
        <v>56.26</v>
      </c>
      <c r="B358" s="162" t="s">
        <v>589</v>
      </c>
      <c r="C358" s="163" t="s">
        <v>590</v>
      </c>
      <c r="D358" s="164">
        <v>39.950000000000003</v>
      </c>
      <c r="E358" s="164">
        <v>39.950000000000003</v>
      </c>
      <c r="F358" s="164"/>
      <c r="G358" s="164"/>
      <c r="H358" s="165">
        <v>521.37</v>
      </c>
      <c r="I358" s="165">
        <v>521.37</v>
      </c>
      <c r="J358" s="165"/>
      <c r="K358" s="165"/>
      <c r="L358" s="356">
        <v>13.050563204005005</v>
      </c>
      <c r="M358" s="356">
        <v>13.05</v>
      </c>
      <c r="N358" s="356" t="s">
        <v>135</v>
      </c>
      <c r="O358" s="356" t="s">
        <v>135</v>
      </c>
      <c r="P358" s="166"/>
      <c r="Q358" s="166"/>
      <c r="R358" s="166">
        <v>11</v>
      </c>
    </row>
    <row r="359" spans="1:18" ht="12.75">
      <c r="A359" s="428" t="s">
        <v>591</v>
      </c>
      <c r="B359" s="429"/>
      <c r="C359" s="429"/>
      <c r="D359" s="429"/>
      <c r="E359" s="429"/>
      <c r="F359" s="429"/>
      <c r="G359" s="429"/>
      <c r="H359" s="429"/>
      <c r="I359" s="429"/>
      <c r="J359" s="429"/>
      <c r="K359" s="429"/>
      <c r="L359" s="429"/>
      <c r="M359" s="429"/>
      <c r="N359" s="429"/>
      <c r="O359" s="429"/>
      <c r="P359" s="429"/>
      <c r="Q359" s="429"/>
      <c r="R359" s="429"/>
    </row>
    <row r="360" spans="1:18">
      <c r="A360" s="156">
        <v>56.27</v>
      </c>
      <c r="B360" s="149" t="s">
        <v>592</v>
      </c>
      <c r="C360" s="157" t="s">
        <v>593</v>
      </c>
      <c r="D360" s="158">
        <v>2671.45</v>
      </c>
      <c r="E360" s="158">
        <v>1014.92</v>
      </c>
      <c r="F360" s="158"/>
      <c r="G360" s="158">
        <v>1656.53</v>
      </c>
      <c r="H360" s="159">
        <v>19917.07</v>
      </c>
      <c r="I360" s="159">
        <v>13244.81</v>
      </c>
      <c r="J360" s="159"/>
      <c r="K360" s="159">
        <v>6672.26</v>
      </c>
      <c r="L360" s="357">
        <v>7.4555278968350525</v>
      </c>
      <c r="M360" s="357">
        <v>13.05</v>
      </c>
      <c r="N360" s="357" t="s">
        <v>135</v>
      </c>
      <c r="O360" s="357">
        <v>4.0278534044055947</v>
      </c>
      <c r="P360" s="160"/>
      <c r="Q360" s="160"/>
      <c r="R360" s="160">
        <v>12</v>
      </c>
    </row>
    <row r="361" spans="1:18">
      <c r="A361" s="156">
        <v>56.28</v>
      </c>
      <c r="B361" s="149" t="s">
        <v>594</v>
      </c>
      <c r="C361" s="157" t="s">
        <v>595</v>
      </c>
      <c r="D361" s="158">
        <v>3205.5</v>
      </c>
      <c r="E361" s="158">
        <v>1504.04</v>
      </c>
      <c r="F361" s="158"/>
      <c r="G361" s="158">
        <v>1701.46</v>
      </c>
      <c r="H361" s="159">
        <v>27074.51</v>
      </c>
      <c r="I361" s="159">
        <v>19627.849999999999</v>
      </c>
      <c r="J361" s="159"/>
      <c r="K361" s="159">
        <v>7446.66</v>
      </c>
      <c r="L361" s="357">
        <v>8.4462673529870536</v>
      </c>
      <c r="M361" s="357">
        <v>13.05</v>
      </c>
      <c r="N361" s="357" t="s">
        <v>135</v>
      </c>
      <c r="O361" s="357">
        <v>4.376629482914673</v>
      </c>
      <c r="P361" s="160"/>
      <c r="Q361" s="160"/>
      <c r="R361" s="160">
        <v>12</v>
      </c>
    </row>
    <row r="362" spans="1:18">
      <c r="A362" s="156">
        <v>56.29</v>
      </c>
      <c r="B362" s="149" t="s">
        <v>596</v>
      </c>
      <c r="C362" s="157" t="s">
        <v>597</v>
      </c>
      <c r="D362" s="158">
        <v>2684.2</v>
      </c>
      <c r="E362" s="158">
        <v>333.82</v>
      </c>
      <c r="F362" s="158"/>
      <c r="G362" s="158">
        <v>2350.38</v>
      </c>
      <c r="H362" s="159">
        <v>13981.48</v>
      </c>
      <c r="I362" s="159">
        <v>4356.42</v>
      </c>
      <c r="J362" s="159"/>
      <c r="K362" s="159">
        <v>9625.06</v>
      </c>
      <c r="L362" s="357">
        <v>5.208807093361151</v>
      </c>
      <c r="M362" s="357">
        <v>13.05</v>
      </c>
      <c r="N362" s="357" t="s">
        <v>135</v>
      </c>
      <c r="O362" s="357">
        <v>4.0951080250853051</v>
      </c>
      <c r="P362" s="160"/>
      <c r="Q362" s="160"/>
      <c r="R362" s="160">
        <v>12</v>
      </c>
    </row>
    <row r="363" spans="1:18">
      <c r="A363" s="156">
        <v>56.3</v>
      </c>
      <c r="B363" s="149" t="s">
        <v>598</v>
      </c>
      <c r="C363" s="157" t="s">
        <v>599</v>
      </c>
      <c r="D363" s="158">
        <v>2962.68</v>
      </c>
      <c r="E363" s="158">
        <v>166.3</v>
      </c>
      <c r="F363" s="158"/>
      <c r="G363" s="158">
        <v>2796.38</v>
      </c>
      <c r="H363" s="159">
        <v>14590.29</v>
      </c>
      <c r="I363" s="159">
        <v>2170.23</v>
      </c>
      <c r="J363" s="159"/>
      <c r="K363" s="159">
        <v>12420.06</v>
      </c>
      <c r="L363" s="357">
        <v>4.924693183198996</v>
      </c>
      <c r="M363" s="357">
        <v>13.05</v>
      </c>
      <c r="N363" s="357" t="s">
        <v>135</v>
      </c>
      <c r="O363" s="357">
        <v>4.44147791072744</v>
      </c>
      <c r="P363" s="160"/>
      <c r="Q363" s="160"/>
      <c r="R363" s="160">
        <v>12</v>
      </c>
    </row>
    <row r="364" spans="1:18">
      <c r="A364" s="156">
        <v>56.31</v>
      </c>
      <c r="B364" s="149" t="s">
        <v>600</v>
      </c>
      <c r="C364" s="157" t="s">
        <v>601</v>
      </c>
      <c r="D364" s="158">
        <v>9327.2900000000009</v>
      </c>
      <c r="E364" s="158">
        <v>745.91</v>
      </c>
      <c r="F364" s="158"/>
      <c r="G364" s="158">
        <v>8581.3799999999992</v>
      </c>
      <c r="H364" s="159">
        <v>71964.2</v>
      </c>
      <c r="I364" s="159">
        <v>9734.14</v>
      </c>
      <c r="J364" s="159"/>
      <c r="K364" s="159">
        <v>62230.06</v>
      </c>
      <c r="L364" s="357">
        <v>7.7154457511238519</v>
      </c>
      <c r="M364" s="357">
        <v>13.05</v>
      </c>
      <c r="N364" s="357" t="s">
        <v>135</v>
      </c>
      <c r="O364" s="357">
        <v>7.2517543798316826</v>
      </c>
      <c r="P364" s="160"/>
      <c r="Q364" s="160"/>
      <c r="R364" s="160">
        <v>12</v>
      </c>
    </row>
    <row r="365" spans="1:18">
      <c r="A365" s="156">
        <v>56.32</v>
      </c>
      <c r="B365" s="149" t="s">
        <v>602</v>
      </c>
      <c r="C365" s="157" t="s">
        <v>603</v>
      </c>
      <c r="D365" s="158">
        <v>12376.06</v>
      </c>
      <c r="E365" s="158">
        <v>1088.29</v>
      </c>
      <c r="F365" s="158"/>
      <c r="G365" s="158">
        <v>11287.77</v>
      </c>
      <c r="H365" s="159">
        <v>85033.39</v>
      </c>
      <c r="I365" s="159">
        <v>14202.26</v>
      </c>
      <c r="J365" s="159"/>
      <c r="K365" s="159">
        <v>70831.13</v>
      </c>
      <c r="L365" s="357">
        <v>6.8707965216716795</v>
      </c>
      <c r="M365" s="357">
        <v>13.05</v>
      </c>
      <c r="N365" s="357" t="s">
        <v>135</v>
      </c>
      <c r="O365" s="357">
        <v>6.2750330667616367</v>
      </c>
      <c r="P365" s="160"/>
      <c r="Q365" s="160"/>
      <c r="R365" s="160">
        <v>12</v>
      </c>
    </row>
    <row r="366" spans="1:18">
      <c r="A366" s="156">
        <v>56.33</v>
      </c>
      <c r="B366" s="149" t="s">
        <v>604</v>
      </c>
      <c r="C366" s="157" t="s">
        <v>605</v>
      </c>
      <c r="D366" s="158">
        <v>1777.05</v>
      </c>
      <c r="E366" s="158">
        <v>583.28</v>
      </c>
      <c r="F366" s="158"/>
      <c r="G366" s="158">
        <v>1193.77</v>
      </c>
      <c r="H366" s="159">
        <v>15620.91</v>
      </c>
      <c r="I366" s="159">
        <v>7611.78</v>
      </c>
      <c r="J366" s="159"/>
      <c r="K366" s="159">
        <v>8009.13</v>
      </c>
      <c r="L366" s="357">
        <v>8.7903604288005397</v>
      </c>
      <c r="M366" s="357">
        <v>13.05</v>
      </c>
      <c r="N366" s="357" t="s">
        <v>135</v>
      </c>
      <c r="O366" s="357">
        <v>6.7091064442899384</v>
      </c>
      <c r="P366" s="160"/>
      <c r="Q366" s="160"/>
      <c r="R366" s="160">
        <v>12</v>
      </c>
    </row>
    <row r="367" spans="1:18">
      <c r="A367" s="156">
        <v>56.34</v>
      </c>
      <c r="B367" s="149" t="s">
        <v>606</v>
      </c>
      <c r="C367" s="157" t="s">
        <v>607</v>
      </c>
      <c r="D367" s="158">
        <v>1613.2</v>
      </c>
      <c r="E367" s="158">
        <v>333.82</v>
      </c>
      <c r="F367" s="158"/>
      <c r="G367" s="158">
        <v>1279.3800000000001</v>
      </c>
      <c r="H367" s="159">
        <v>7634.48</v>
      </c>
      <c r="I367" s="159">
        <v>4356.42</v>
      </c>
      <c r="J367" s="159"/>
      <c r="K367" s="159">
        <v>3278.06</v>
      </c>
      <c r="L367" s="357">
        <v>4.7325068187453505</v>
      </c>
      <c r="M367" s="357">
        <v>13.05</v>
      </c>
      <c r="N367" s="357" t="s">
        <v>135</v>
      </c>
      <c r="O367" s="357">
        <v>2.5622254529537742</v>
      </c>
      <c r="P367" s="160"/>
      <c r="Q367" s="160"/>
      <c r="R367" s="160">
        <v>12</v>
      </c>
    </row>
    <row r="368" spans="1:18">
      <c r="A368" s="156">
        <v>56.35</v>
      </c>
      <c r="B368" s="149" t="s">
        <v>608</v>
      </c>
      <c r="C368" s="157" t="s">
        <v>609</v>
      </c>
      <c r="D368" s="158">
        <v>4368.66</v>
      </c>
      <c r="E368" s="158">
        <v>583.28</v>
      </c>
      <c r="F368" s="158"/>
      <c r="G368" s="158">
        <v>3785.38</v>
      </c>
      <c r="H368" s="159">
        <v>32494.84</v>
      </c>
      <c r="I368" s="159">
        <v>7611.78</v>
      </c>
      <c r="J368" s="159"/>
      <c r="K368" s="159">
        <v>24883.06</v>
      </c>
      <c r="L368" s="357">
        <v>7.4381709723347669</v>
      </c>
      <c r="M368" s="357">
        <v>13.05</v>
      </c>
      <c r="N368" s="357" t="s">
        <v>135</v>
      </c>
      <c r="O368" s="357">
        <v>6.5734642228785489</v>
      </c>
      <c r="P368" s="160"/>
      <c r="Q368" s="160"/>
      <c r="R368" s="160">
        <v>12</v>
      </c>
    </row>
    <row r="369" spans="1:18">
      <c r="A369" s="156">
        <v>56.36</v>
      </c>
      <c r="B369" s="149" t="s">
        <v>610</v>
      </c>
      <c r="C369" s="157" t="s">
        <v>611</v>
      </c>
      <c r="D369" s="158">
        <v>1978.23</v>
      </c>
      <c r="E369" s="158">
        <v>1002.7</v>
      </c>
      <c r="F369" s="158"/>
      <c r="G369" s="158">
        <v>975.53</v>
      </c>
      <c r="H369" s="159">
        <v>17088.490000000002</v>
      </c>
      <c r="I369" s="159">
        <v>13085.23</v>
      </c>
      <c r="J369" s="159"/>
      <c r="K369" s="159">
        <v>4003.26</v>
      </c>
      <c r="L369" s="357">
        <v>8.6382725972207481</v>
      </c>
      <c r="M369" s="357">
        <v>13.05</v>
      </c>
      <c r="N369" s="357" t="s">
        <v>135</v>
      </c>
      <c r="O369" s="357">
        <v>4.1036769755927551</v>
      </c>
      <c r="P369" s="160"/>
      <c r="Q369" s="160"/>
      <c r="R369" s="160">
        <v>12</v>
      </c>
    </row>
    <row r="370" spans="1:18">
      <c r="A370" s="156">
        <v>56.37</v>
      </c>
      <c r="B370" s="149" t="s">
        <v>612</v>
      </c>
      <c r="C370" s="157" t="s">
        <v>613</v>
      </c>
      <c r="D370" s="158">
        <v>1401.36</v>
      </c>
      <c r="E370" s="158">
        <v>250.67</v>
      </c>
      <c r="F370" s="158"/>
      <c r="G370" s="158">
        <v>1150.69</v>
      </c>
      <c r="H370" s="159">
        <v>9088.84</v>
      </c>
      <c r="I370" s="159">
        <v>3271.31</v>
      </c>
      <c r="J370" s="159"/>
      <c r="K370" s="159">
        <v>5817.53</v>
      </c>
      <c r="L370" s="357">
        <v>6.4857281497973407</v>
      </c>
      <c r="M370" s="357">
        <v>13.05</v>
      </c>
      <c r="N370" s="357" t="s">
        <v>135</v>
      </c>
      <c r="O370" s="357">
        <v>5.0556883261347538</v>
      </c>
      <c r="P370" s="160"/>
      <c r="Q370" s="160"/>
      <c r="R370" s="160">
        <v>12</v>
      </c>
    </row>
    <row r="371" spans="1:18">
      <c r="A371" s="156">
        <v>56.38</v>
      </c>
      <c r="B371" s="149" t="s">
        <v>614</v>
      </c>
      <c r="C371" s="157" t="s">
        <v>615</v>
      </c>
      <c r="D371" s="158">
        <v>1175.68</v>
      </c>
      <c r="E371" s="158">
        <v>166.3</v>
      </c>
      <c r="F371" s="158"/>
      <c r="G371" s="158">
        <v>1009.38</v>
      </c>
      <c r="H371" s="159">
        <v>7465.29</v>
      </c>
      <c r="I371" s="159">
        <v>2170.23</v>
      </c>
      <c r="J371" s="159"/>
      <c r="K371" s="159">
        <v>5295.06</v>
      </c>
      <c r="L371" s="357">
        <v>6.3497635410996187</v>
      </c>
      <c r="M371" s="357">
        <v>13.05</v>
      </c>
      <c r="N371" s="357" t="s">
        <v>135</v>
      </c>
      <c r="O371" s="357">
        <v>5.2458538905070444</v>
      </c>
      <c r="P371" s="160"/>
      <c r="Q371" s="160"/>
      <c r="R371" s="160">
        <v>12</v>
      </c>
    </row>
    <row r="372" spans="1:18">
      <c r="A372" s="156">
        <v>56.39</v>
      </c>
      <c r="B372" s="149" t="s">
        <v>616</v>
      </c>
      <c r="C372" s="157" t="s">
        <v>617</v>
      </c>
      <c r="D372" s="158">
        <v>4276.0600000000004</v>
      </c>
      <c r="E372" s="158">
        <v>1088.29</v>
      </c>
      <c r="F372" s="158"/>
      <c r="G372" s="158">
        <v>3187.77</v>
      </c>
      <c r="H372" s="159">
        <v>32561.39</v>
      </c>
      <c r="I372" s="159">
        <v>14202.26</v>
      </c>
      <c r="J372" s="159"/>
      <c r="K372" s="159">
        <v>18359.13</v>
      </c>
      <c r="L372" s="357">
        <v>7.6148112982511931</v>
      </c>
      <c r="M372" s="357">
        <v>13.05</v>
      </c>
      <c r="N372" s="357" t="s">
        <v>135</v>
      </c>
      <c r="O372" s="357">
        <v>5.7592392173839393</v>
      </c>
      <c r="P372" s="160"/>
      <c r="Q372" s="160"/>
      <c r="R372" s="160">
        <v>12</v>
      </c>
    </row>
    <row r="373" spans="1:18">
      <c r="A373" s="156">
        <v>56.4</v>
      </c>
      <c r="B373" s="149" t="s">
        <v>618</v>
      </c>
      <c r="C373" s="157" t="s">
        <v>619</v>
      </c>
      <c r="D373" s="158">
        <v>1068.1199999999999</v>
      </c>
      <c r="E373" s="158">
        <v>416.97</v>
      </c>
      <c r="F373" s="158"/>
      <c r="G373" s="158">
        <v>651.15</v>
      </c>
      <c r="H373" s="159">
        <v>9507.73</v>
      </c>
      <c r="I373" s="159">
        <v>5441.54</v>
      </c>
      <c r="J373" s="159"/>
      <c r="K373" s="159">
        <v>4066.19</v>
      </c>
      <c r="L373" s="357">
        <v>8.9013687600644129</v>
      </c>
      <c r="M373" s="357">
        <v>13.05</v>
      </c>
      <c r="N373" s="357" t="s">
        <v>135</v>
      </c>
      <c r="O373" s="357">
        <v>6.2446287337786996</v>
      </c>
      <c r="P373" s="160"/>
      <c r="Q373" s="160"/>
      <c r="R373" s="160">
        <v>12</v>
      </c>
    </row>
    <row r="374" spans="1:18">
      <c r="A374" s="156">
        <v>56.41</v>
      </c>
      <c r="B374" s="149" t="s">
        <v>620</v>
      </c>
      <c r="C374" s="157" t="s">
        <v>621</v>
      </c>
      <c r="D374" s="158">
        <v>853.2</v>
      </c>
      <c r="E374" s="158">
        <v>333.82</v>
      </c>
      <c r="F374" s="158"/>
      <c r="G374" s="158">
        <v>519.38</v>
      </c>
      <c r="H374" s="159">
        <v>6930.48</v>
      </c>
      <c r="I374" s="159">
        <v>4356.42</v>
      </c>
      <c r="J374" s="159"/>
      <c r="K374" s="159">
        <v>2574.06</v>
      </c>
      <c r="L374" s="357">
        <v>8.1229254571026708</v>
      </c>
      <c r="M374" s="357">
        <v>13.05</v>
      </c>
      <c r="N374" s="357" t="s">
        <v>135</v>
      </c>
      <c r="O374" s="357">
        <v>4.9560244907389581</v>
      </c>
      <c r="P374" s="160"/>
      <c r="Q374" s="160"/>
      <c r="R374" s="160">
        <v>12</v>
      </c>
    </row>
    <row r="375" spans="1:18">
      <c r="A375" s="161">
        <v>56.42</v>
      </c>
      <c r="B375" s="162" t="s">
        <v>622</v>
      </c>
      <c r="C375" s="163" t="s">
        <v>623</v>
      </c>
      <c r="D375" s="164">
        <v>793.34</v>
      </c>
      <c r="E375" s="164">
        <v>394.96</v>
      </c>
      <c r="F375" s="164"/>
      <c r="G375" s="164">
        <v>398.38</v>
      </c>
      <c r="H375" s="165">
        <v>7436.36</v>
      </c>
      <c r="I375" s="165">
        <v>5154.3</v>
      </c>
      <c r="J375" s="165"/>
      <c r="K375" s="165">
        <v>2282.06</v>
      </c>
      <c r="L375" s="356">
        <v>9.3734842564348195</v>
      </c>
      <c r="M375" s="356">
        <v>13.05</v>
      </c>
      <c r="N375" s="356" t="s">
        <v>135</v>
      </c>
      <c r="O375" s="356">
        <v>5.728349816757869</v>
      </c>
      <c r="P375" s="166"/>
      <c r="Q375" s="166"/>
      <c r="R375" s="166">
        <v>12</v>
      </c>
    </row>
    <row r="376" spans="1:18" ht="12.75">
      <c r="A376" s="428" t="s">
        <v>624</v>
      </c>
      <c r="B376" s="429"/>
      <c r="C376" s="429"/>
      <c r="D376" s="429"/>
      <c r="E376" s="429"/>
      <c r="F376" s="429"/>
      <c r="G376" s="429"/>
      <c r="H376" s="429"/>
      <c r="I376" s="429"/>
      <c r="J376" s="429"/>
      <c r="K376" s="429"/>
      <c r="L376" s="429"/>
      <c r="M376" s="429"/>
      <c r="N376" s="429"/>
      <c r="O376" s="429"/>
      <c r="P376" s="429"/>
      <c r="Q376" s="429"/>
      <c r="R376" s="429"/>
    </row>
    <row r="377" spans="1:18" ht="24">
      <c r="A377" s="156">
        <v>56.43</v>
      </c>
      <c r="B377" s="149" t="s">
        <v>625</v>
      </c>
      <c r="C377" s="157" t="s">
        <v>626</v>
      </c>
      <c r="D377" s="158">
        <v>2027.07</v>
      </c>
      <c r="E377" s="158">
        <v>503.26</v>
      </c>
      <c r="F377" s="158">
        <v>12.59</v>
      </c>
      <c r="G377" s="158">
        <v>1511.22</v>
      </c>
      <c r="H377" s="159">
        <v>16104.17</v>
      </c>
      <c r="I377" s="159">
        <v>6567.79</v>
      </c>
      <c r="J377" s="159">
        <v>63.68</v>
      </c>
      <c r="K377" s="159">
        <v>9472.7000000000007</v>
      </c>
      <c r="L377" s="357">
        <v>7.9445554420912945</v>
      </c>
      <c r="M377" s="357">
        <v>13.05</v>
      </c>
      <c r="N377" s="357">
        <v>5.057982525814138</v>
      </c>
      <c r="O377" s="357">
        <v>6.2682468469183839</v>
      </c>
      <c r="P377" s="160"/>
      <c r="Q377" s="160"/>
      <c r="R377" s="160">
        <v>13</v>
      </c>
    </row>
    <row r="378" spans="1:18" ht="24">
      <c r="A378" s="156">
        <v>56.44</v>
      </c>
      <c r="B378" s="149" t="s">
        <v>627</v>
      </c>
      <c r="C378" s="157" t="s">
        <v>628</v>
      </c>
      <c r="D378" s="158">
        <v>2225.9899999999998</v>
      </c>
      <c r="E378" s="158">
        <v>694.44</v>
      </c>
      <c r="F378" s="158">
        <v>12.59</v>
      </c>
      <c r="G378" s="158">
        <v>1518.96</v>
      </c>
      <c r="H378" s="159">
        <v>18632.18</v>
      </c>
      <c r="I378" s="159">
        <v>9062.69</v>
      </c>
      <c r="J378" s="159">
        <v>63.68</v>
      </c>
      <c r="K378" s="159">
        <v>9505.81</v>
      </c>
      <c r="L378" s="357">
        <v>8.3702891747042898</v>
      </c>
      <c r="M378" s="357">
        <v>13.05</v>
      </c>
      <c r="N378" s="357">
        <v>5.057982525814138</v>
      </c>
      <c r="O378" s="357">
        <v>6.2581042292094589</v>
      </c>
      <c r="P378" s="160"/>
      <c r="Q378" s="160"/>
      <c r="R378" s="160">
        <v>13</v>
      </c>
    </row>
    <row r="379" spans="1:18" ht="24">
      <c r="A379" s="156">
        <v>56.45</v>
      </c>
      <c r="B379" s="149" t="s">
        <v>629</v>
      </c>
      <c r="C379" s="157" t="s">
        <v>630</v>
      </c>
      <c r="D379" s="158">
        <v>1398.96</v>
      </c>
      <c r="E379" s="158">
        <v>350.97</v>
      </c>
      <c r="F379" s="158">
        <v>3.15</v>
      </c>
      <c r="G379" s="158">
        <v>1044.8399999999999</v>
      </c>
      <c r="H379" s="159">
        <v>11716.06</v>
      </c>
      <c r="I379" s="159">
        <v>4580.26</v>
      </c>
      <c r="J379" s="159">
        <v>15.92</v>
      </c>
      <c r="K379" s="159">
        <v>7119.88</v>
      </c>
      <c r="L379" s="357">
        <v>8.3748355921541719</v>
      </c>
      <c r="M379" s="357">
        <v>13.05</v>
      </c>
      <c r="N379" s="357">
        <v>5.0539682539682538</v>
      </c>
      <c r="O379" s="357">
        <v>6.8143256383752542</v>
      </c>
      <c r="P379" s="160"/>
      <c r="Q379" s="160"/>
      <c r="R379" s="160">
        <v>13</v>
      </c>
    </row>
    <row r="380" spans="1:18" ht="24">
      <c r="A380" s="156">
        <v>56.46</v>
      </c>
      <c r="B380" s="149" t="s">
        <v>631</v>
      </c>
      <c r="C380" s="157" t="s">
        <v>632</v>
      </c>
      <c r="D380" s="158">
        <v>1808.48</v>
      </c>
      <c r="E380" s="158">
        <v>744.56</v>
      </c>
      <c r="F380" s="158">
        <v>3.15</v>
      </c>
      <c r="G380" s="158">
        <v>1060.77</v>
      </c>
      <c r="H380" s="159">
        <v>16922.900000000001</v>
      </c>
      <c r="I380" s="159">
        <v>9716.81</v>
      </c>
      <c r="J380" s="159">
        <v>15.92</v>
      </c>
      <c r="K380" s="159">
        <v>7190.17</v>
      </c>
      <c r="L380" s="357">
        <v>9.3575267628063354</v>
      </c>
      <c r="M380" s="357">
        <v>13.05</v>
      </c>
      <c r="N380" s="357">
        <v>5.0539682539682538</v>
      </c>
      <c r="O380" s="357">
        <v>6.7782554182339245</v>
      </c>
      <c r="P380" s="160"/>
      <c r="Q380" s="160"/>
      <c r="R380" s="160">
        <v>13</v>
      </c>
    </row>
    <row r="381" spans="1:18" ht="24">
      <c r="A381" s="156">
        <v>56.47</v>
      </c>
      <c r="B381" s="149" t="s">
        <v>633</v>
      </c>
      <c r="C381" s="157" t="s">
        <v>634</v>
      </c>
      <c r="D381" s="158">
        <v>3693.84</v>
      </c>
      <c r="E381" s="158">
        <v>1604.04</v>
      </c>
      <c r="F381" s="158">
        <v>19.93</v>
      </c>
      <c r="G381" s="158">
        <v>2069.87</v>
      </c>
      <c r="H381" s="159">
        <v>33242.06</v>
      </c>
      <c r="I381" s="159">
        <v>20933.349999999999</v>
      </c>
      <c r="J381" s="159">
        <v>100.82</v>
      </c>
      <c r="K381" s="159">
        <v>12207.89</v>
      </c>
      <c r="L381" s="357">
        <v>8.9993231975396863</v>
      </c>
      <c r="M381" s="357">
        <v>13.05</v>
      </c>
      <c r="N381" s="357">
        <v>5.058705469141997</v>
      </c>
      <c r="O381" s="357">
        <v>5.8979018005961725</v>
      </c>
      <c r="P381" s="160"/>
      <c r="Q381" s="160"/>
      <c r="R381" s="160">
        <v>13</v>
      </c>
    </row>
    <row r="382" spans="1:18" ht="24">
      <c r="A382" s="156">
        <v>56.48</v>
      </c>
      <c r="B382" s="149" t="s">
        <v>635</v>
      </c>
      <c r="C382" s="157" t="s">
        <v>636</v>
      </c>
      <c r="D382" s="158">
        <v>3892.75</v>
      </c>
      <c r="E382" s="158">
        <v>1795.21</v>
      </c>
      <c r="F382" s="158">
        <v>19.93</v>
      </c>
      <c r="G382" s="158">
        <v>2077.61</v>
      </c>
      <c r="H382" s="159">
        <v>35770.07</v>
      </c>
      <c r="I382" s="159">
        <v>23428.25</v>
      </c>
      <c r="J382" s="159">
        <v>100.82</v>
      </c>
      <c r="K382" s="159">
        <v>12241</v>
      </c>
      <c r="L382" s="357">
        <v>9.1888947402222083</v>
      </c>
      <c r="M382" s="357">
        <v>13.05</v>
      </c>
      <c r="N382" s="357">
        <v>5.058705469141997</v>
      </c>
      <c r="O382" s="357">
        <v>5.8918661346450962</v>
      </c>
      <c r="P382" s="160"/>
      <c r="Q382" s="160"/>
      <c r="R382" s="160">
        <v>13</v>
      </c>
    </row>
    <row r="383" spans="1:18" ht="36">
      <c r="A383" s="161">
        <v>56.49</v>
      </c>
      <c r="B383" s="162" t="s">
        <v>637</v>
      </c>
      <c r="C383" s="163" t="s">
        <v>638</v>
      </c>
      <c r="D383" s="164">
        <v>120.65</v>
      </c>
      <c r="E383" s="164">
        <v>120.65</v>
      </c>
      <c r="F383" s="164"/>
      <c r="G383" s="164"/>
      <c r="H383" s="165">
        <v>1574.48</v>
      </c>
      <c r="I383" s="165">
        <v>1574.48</v>
      </c>
      <c r="J383" s="165"/>
      <c r="K383" s="165"/>
      <c r="L383" s="356">
        <v>13.049979278905926</v>
      </c>
      <c r="M383" s="356">
        <v>13.05</v>
      </c>
      <c r="N383" s="356" t="s">
        <v>135</v>
      </c>
      <c r="O383" s="356" t="s">
        <v>135</v>
      </c>
      <c r="P383" s="166"/>
      <c r="Q383" s="166"/>
      <c r="R383" s="166">
        <v>13</v>
      </c>
    </row>
    <row r="384" spans="1:18" ht="12.75">
      <c r="A384" s="428" t="s">
        <v>639</v>
      </c>
      <c r="B384" s="429"/>
      <c r="C384" s="429"/>
      <c r="D384" s="429"/>
      <c r="E384" s="429"/>
      <c r="F384" s="429"/>
      <c r="G384" s="429"/>
      <c r="H384" s="429"/>
      <c r="I384" s="429"/>
      <c r="J384" s="429"/>
      <c r="K384" s="429"/>
      <c r="L384" s="429"/>
      <c r="M384" s="429"/>
      <c r="N384" s="429"/>
      <c r="O384" s="429"/>
      <c r="P384" s="429"/>
      <c r="Q384" s="429"/>
      <c r="R384" s="429"/>
    </row>
    <row r="385" spans="1:18" ht="24">
      <c r="A385" s="156">
        <v>56.5</v>
      </c>
      <c r="B385" s="149" t="s">
        <v>640</v>
      </c>
      <c r="C385" s="157" t="s">
        <v>641</v>
      </c>
      <c r="D385" s="158">
        <v>1976.55</v>
      </c>
      <c r="E385" s="158">
        <v>1947.1</v>
      </c>
      <c r="F385" s="158"/>
      <c r="G385" s="158">
        <v>29.45</v>
      </c>
      <c r="H385" s="159">
        <v>25489.8</v>
      </c>
      <c r="I385" s="159">
        <v>25408.83</v>
      </c>
      <c r="J385" s="159"/>
      <c r="K385" s="159">
        <v>80.97</v>
      </c>
      <c r="L385" s="357">
        <v>12.896106852849663</v>
      </c>
      <c r="M385" s="357">
        <v>13.05</v>
      </c>
      <c r="N385" s="357" t="s">
        <v>135</v>
      </c>
      <c r="O385" s="357">
        <v>2.7494057724957557</v>
      </c>
      <c r="P385" s="160"/>
      <c r="Q385" s="160"/>
      <c r="R385" s="160">
        <v>14</v>
      </c>
    </row>
    <row r="386" spans="1:18" ht="24">
      <c r="A386" s="156">
        <v>56.51</v>
      </c>
      <c r="B386" s="149" t="s">
        <v>642</v>
      </c>
      <c r="C386" s="157" t="s">
        <v>643</v>
      </c>
      <c r="D386" s="158">
        <v>3303.64</v>
      </c>
      <c r="E386" s="158">
        <v>3274.19</v>
      </c>
      <c r="F386" s="158"/>
      <c r="G386" s="158">
        <v>29.45</v>
      </c>
      <c r="H386" s="159">
        <v>42807.87</v>
      </c>
      <c r="I386" s="159">
        <v>42726.9</v>
      </c>
      <c r="J386" s="159"/>
      <c r="K386" s="159">
        <v>80.97</v>
      </c>
      <c r="L386" s="357">
        <v>12.957788984271895</v>
      </c>
      <c r="M386" s="357">
        <v>13.05</v>
      </c>
      <c r="N386" s="357" t="s">
        <v>135</v>
      </c>
      <c r="O386" s="357">
        <v>2.7494057724957557</v>
      </c>
      <c r="P386" s="160"/>
      <c r="Q386" s="160"/>
      <c r="R386" s="160">
        <v>14</v>
      </c>
    </row>
    <row r="387" spans="1:18" ht="24">
      <c r="A387" s="161">
        <v>56.52</v>
      </c>
      <c r="B387" s="162" t="s">
        <v>644</v>
      </c>
      <c r="C387" s="163" t="s">
        <v>645</v>
      </c>
      <c r="D387" s="164">
        <v>4630.74</v>
      </c>
      <c r="E387" s="164">
        <v>4601.29</v>
      </c>
      <c r="F387" s="164"/>
      <c r="G387" s="164">
        <v>29.45</v>
      </c>
      <c r="H387" s="165">
        <v>60125.94</v>
      </c>
      <c r="I387" s="165">
        <v>60044.97</v>
      </c>
      <c r="J387" s="165"/>
      <c r="K387" s="165">
        <v>80.97</v>
      </c>
      <c r="L387" s="356">
        <v>12.984088936109565</v>
      </c>
      <c r="M387" s="356">
        <v>13.05</v>
      </c>
      <c r="N387" s="356" t="s">
        <v>135</v>
      </c>
      <c r="O387" s="356">
        <v>2.7494057724957557</v>
      </c>
      <c r="P387" s="166"/>
      <c r="Q387" s="166"/>
      <c r="R387" s="166">
        <v>14</v>
      </c>
    </row>
    <row r="388" spans="1:18" ht="12.75">
      <c r="A388" s="428" t="s">
        <v>646</v>
      </c>
      <c r="B388" s="429"/>
      <c r="C388" s="429"/>
      <c r="D388" s="429"/>
      <c r="E388" s="429"/>
      <c r="F388" s="429"/>
      <c r="G388" s="429"/>
      <c r="H388" s="429"/>
      <c r="I388" s="429"/>
      <c r="J388" s="429"/>
      <c r="K388" s="429"/>
      <c r="L388" s="429"/>
      <c r="M388" s="429"/>
      <c r="N388" s="429"/>
      <c r="O388" s="429"/>
      <c r="P388" s="429"/>
      <c r="Q388" s="429"/>
      <c r="R388" s="429"/>
    </row>
    <row r="389" spans="1:18" ht="36">
      <c r="A389" s="156">
        <v>56.53</v>
      </c>
      <c r="B389" s="149" t="s">
        <v>647</v>
      </c>
      <c r="C389" s="157" t="s">
        <v>648</v>
      </c>
      <c r="D389" s="158">
        <v>3023.01</v>
      </c>
      <c r="E389" s="158">
        <v>2306.39</v>
      </c>
      <c r="F389" s="158">
        <v>42.7</v>
      </c>
      <c r="G389" s="158">
        <v>673.92</v>
      </c>
      <c r="H389" s="159">
        <v>32593.02</v>
      </c>
      <c r="I389" s="159">
        <v>30097.46</v>
      </c>
      <c r="J389" s="159">
        <v>250.13</v>
      </c>
      <c r="K389" s="159">
        <v>2245.4299999999998</v>
      </c>
      <c r="L389" s="357">
        <v>10.781644784502863</v>
      </c>
      <c r="M389" s="357">
        <v>13.05</v>
      </c>
      <c r="N389" s="357">
        <v>5.8578454332552692</v>
      </c>
      <c r="O389" s="357">
        <v>3.3318939933523266</v>
      </c>
      <c r="P389" s="160"/>
      <c r="Q389" s="160"/>
      <c r="R389" s="160">
        <v>15</v>
      </c>
    </row>
    <row r="390" spans="1:18" ht="36">
      <c r="A390" s="156">
        <v>56.54</v>
      </c>
      <c r="B390" s="149" t="s">
        <v>649</v>
      </c>
      <c r="C390" s="157" t="s">
        <v>650</v>
      </c>
      <c r="D390" s="158">
        <v>3756.38</v>
      </c>
      <c r="E390" s="158">
        <v>3030.26</v>
      </c>
      <c r="F390" s="158">
        <v>52.2</v>
      </c>
      <c r="G390" s="158">
        <v>673.92</v>
      </c>
      <c r="H390" s="159">
        <v>42097.72</v>
      </c>
      <c r="I390" s="159">
        <v>39543.68</v>
      </c>
      <c r="J390" s="159">
        <v>308.61</v>
      </c>
      <c r="K390" s="159">
        <v>2245.4299999999998</v>
      </c>
      <c r="L390" s="357">
        <v>11.206991837886475</v>
      </c>
      <c r="M390" s="357">
        <v>13.05</v>
      </c>
      <c r="N390" s="357">
        <v>5.9120689655172409</v>
      </c>
      <c r="O390" s="357">
        <v>3.3318939933523266</v>
      </c>
      <c r="P390" s="160"/>
      <c r="Q390" s="160"/>
      <c r="R390" s="160">
        <v>15</v>
      </c>
    </row>
    <row r="391" spans="1:18" ht="24">
      <c r="A391" s="156">
        <v>56.55</v>
      </c>
      <c r="B391" s="149" t="s">
        <v>651</v>
      </c>
      <c r="C391" s="157" t="s">
        <v>652</v>
      </c>
      <c r="D391" s="158">
        <v>4584.17</v>
      </c>
      <c r="E391" s="158">
        <v>3519.73</v>
      </c>
      <c r="F391" s="158">
        <v>65.349999999999994</v>
      </c>
      <c r="G391" s="158">
        <v>999.09</v>
      </c>
      <c r="H391" s="159">
        <v>49649.5</v>
      </c>
      <c r="I391" s="159">
        <v>45931.12</v>
      </c>
      <c r="J391" s="159">
        <v>382.61</v>
      </c>
      <c r="K391" s="159">
        <v>3335.77</v>
      </c>
      <c r="L391" s="357">
        <v>10.830641097516017</v>
      </c>
      <c r="M391" s="357">
        <v>13.05</v>
      </c>
      <c r="N391" s="357">
        <v>5.8547819433817914</v>
      </c>
      <c r="O391" s="357">
        <v>3.338808315567166</v>
      </c>
      <c r="P391" s="160"/>
      <c r="Q391" s="160"/>
      <c r="R391" s="160">
        <v>15</v>
      </c>
    </row>
    <row r="392" spans="1:18" ht="24">
      <c r="A392" s="156">
        <v>56.56</v>
      </c>
      <c r="B392" s="149" t="s">
        <v>653</v>
      </c>
      <c r="C392" s="157" t="s">
        <v>654</v>
      </c>
      <c r="D392" s="158">
        <v>5952.86</v>
      </c>
      <c r="E392" s="158">
        <v>4374.82</v>
      </c>
      <c r="F392" s="158">
        <v>86.28</v>
      </c>
      <c r="G392" s="158">
        <v>1491.76</v>
      </c>
      <c r="H392" s="159">
        <v>62575.49</v>
      </c>
      <c r="I392" s="159">
        <v>57089.66</v>
      </c>
      <c r="J392" s="159">
        <v>501.09</v>
      </c>
      <c r="K392" s="159">
        <v>4984.74</v>
      </c>
      <c r="L392" s="357">
        <v>10.51183632741237</v>
      </c>
      <c r="M392" s="357">
        <v>13.05</v>
      </c>
      <c r="N392" s="357">
        <v>5.8077190542420025</v>
      </c>
      <c r="O392" s="357">
        <v>3.3415160615648629</v>
      </c>
      <c r="P392" s="160"/>
      <c r="Q392" s="160"/>
      <c r="R392" s="160">
        <v>15</v>
      </c>
    </row>
    <row r="393" spans="1:18" ht="24">
      <c r="A393" s="161">
        <v>56.57</v>
      </c>
      <c r="B393" s="162" t="s">
        <v>655</v>
      </c>
      <c r="C393" s="163" t="s">
        <v>656</v>
      </c>
      <c r="D393" s="164">
        <v>6995.78</v>
      </c>
      <c r="E393" s="164">
        <v>5223.12</v>
      </c>
      <c r="F393" s="164">
        <v>99.65</v>
      </c>
      <c r="G393" s="164">
        <v>1673.01</v>
      </c>
      <c r="H393" s="165">
        <v>74321.990000000005</v>
      </c>
      <c r="I393" s="165">
        <v>68159.73</v>
      </c>
      <c r="J393" s="165">
        <v>581.05999999999995</v>
      </c>
      <c r="K393" s="165">
        <v>5581.2</v>
      </c>
      <c r="L393" s="356">
        <v>10.623831795739719</v>
      </c>
      <c r="M393" s="356">
        <v>13.05</v>
      </c>
      <c r="N393" s="356">
        <v>5.8310085298544898</v>
      </c>
      <c r="O393" s="356">
        <v>3.3360230960962576</v>
      </c>
      <c r="P393" s="166"/>
      <c r="Q393" s="166"/>
      <c r="R393" s="166">
        <v>15</v>
      </c>
    </row>
    <row r="394" spans="1:18" ht="12.75">
      <c r="A394" s="428" t="s">
        <v>657</v>
      </c>
      <c r="B394" s="429"/>
      <c r="C394" s="429"/>
      <c r="D394" s="429"/>
      <c r="E394" s="429"/>
      <c r="F394" s="429"/>
      <c r="G394" s="429"/>
      <c r="H394" s="429"/>
      <c r="I394" s="429"/>
      <c r="J394" s="429"/>
      <c r="K394" s="429"/>
      <c r="L394" s="429"/>
      <c r="M394" s="429"/>
      <c r="N394" s="429"/>
      <c r="O394" s="429"/>
      <c r="P394" s="429"/>
      <c r="Q394" s="429"/>
      <c r="R394" s="429"/>
    </row>
    <row r="395" spans="1:18">
      <c r="A395" s="161">
        <v>56.58</v>
      </c>
      <c r="B395" s="162" t="s">
        <v>658</v>
      </c>
      <c r="C395" s="163" t="s">
        <v>659</v>
      </c>
      <c r="D395" s="164">
        <v>718.37</v>
      </c>
      <c r="E395" s="164">
        <v>154.72</v>
      </c>
      <c r="F395" s="164">
        <v>9.44</v>
      </c>
      <c r="G395" s="164">
        <v>554.21</v>
      </c>
      <c r="H395" s="165">
        <v>3914.56</v>
      </c>
      <c r="I395" s="165">
        <v>2019.17</v>
      </c>
      <c r="J395" s="165">
        <v>47.76</v>
      </c>
      <c r="K395" s="165">
        <v>1847.63</v>
      </c>
      <c r="L395" s="356">
        <v>5.449225329565544</v>
      </c>
      <c r="M395" s="356">
        <v>13.05</v>
      </c>
      <c r="N395" s="356">
        <v>5.0593220338983054</v>
      </c>
      <c r="O395" s="356">
        <v>3.3338084841486078</v>
      </c>
      <c r="P395" s="166"/>
      <c r="Q395" s="166"/>
      <c r="R395" s="166">
        <v>16</v>
      </c>
    </row>
    <row r="396" spans="1:18" ht="12.75">
      <c r="A396" s="428" t="s">
        <v>660</v>
      </c>
      <c r="B396" s="429"/>
      <c r="C396" s="429"/>
      <c r="D396" s="429"/>
      <c r="E396" s="429"/>
      <c r="F396" s="429"/>
      <c r="G396" s="429"/>
      <c r="H396" s="429"/>
      <c r="I396" s="429"/>
      <c r="J396" s="429"/>
      <c r="K396" s="429"/>
      <c r="L396" s="429"/>
      <c r="M396" s="429"/>
      <c r="N396" s="429"/>
      <c r="O396" s="429"/>
      <c r="P396" s="429"/>
      <c r="Q396" s="429"/>
      <c r="R396" s="429"/>
    </row>
    <row r="397" spans="1:18">
      <c r="A397" s="156">
        <v>56.59</v>
      </c>
      <c r="B397" s="149" t="s">
        <v>661</v>
      </c>
      <c r="C397" s="157" t="s">
        <v>662</v>
      </c>
      <c r="D397" s="158">
        <v>2775.67</v>
      </c>
      <c r="E397" s="158">
        <v>754.06</v>
      </c>
      <c r="F397" s="158">
        <v>25.18</v>
      </c>
      <c r="G397" s="158">
        <v>1996.43</v>
      </c>
      <c r="H397" s="159">
        <v>17988.13</v>
      </c>
      <c r="I397" s="159">
        <v>9840.52</v>
      </c>
      <c r="J397" s="159">
        <v>127.36</v>
      </c>
      <c r="K397" s="159">
        <v>8020.25</v>
      </c>
      <c r="L397" s="357">
        <v>6.4806443129046318</v>
      </c>
      <c r="M397" s="357">
        <v>13.05</v>
      </c>
      <c r="N397" s="357">
        <v>5.057982525814138</v>
      </c>
      <c r="O397" s="357">
        <v>4.0172958731335431</v>
      </c>
      <c r="P397" s="160"/>
      <c r="Q397" s="160"/>
      <c r="R397" s="160">
        <v>17</v>
      </c>
    </row>
    <row r="398" spans="1:18">
      <c r="A398" s="161">
        <v>56.6</v>
      </c>
      <c r="B398" s="162" t="s">
        <v>663</v>
      </c>
      <c r="C398" s="163" t="s">
        <v>664</v>
      </c>
      <c r="D398" s="164">
        <v>3685.3</v>
      </c>
      <c r="E398" s="164">
        <v>1071.99</v>
      </c>
      <c r="F398" s="164">
        <v>33.57</v>
      </c>
      <c r="G398" s="164">
        <v>2579.7399999999998</v>
      </c>
      <c r="H398" s="165">
        <v>24532.01</v>
      </c>
      <c r="I398" s="165">
        <v>13989.5</v>
      </c>
      <c r="J398" s="165">
        <v>169.81</v>
      </c>
      <c r="K398" s="165">
        <v>10372.700000000001</v>
      </c>
      <c r="L398" s="356">
        <v>6.6567199413887597</v>
      </c>
      <c r="M398" s="356">
        <v>13.05</v>
      </c>
      <c r="N398" s="356">
        <v>5.0583854632112004</v>
      </c>
      <c r="O398" s="356">
        <v>4.0208315566685018</v>
      </c>
      <c r="P398" s="166"/>
      <c r="Q398" s="166"/>
      <c r="R398" s="166">
        <v>17</v>
      </c>
    </row>
    <row r="399" spans="1:18" ht="12.75">
      <c r="A399" s="428" t="s">
        <v>665</v>
      </c>
      <c r="B399" s="429"/>
      <c r="C399" s="429"/>
      <c r="D399" s="429"/>
      <c r="E399" s="429"/>
      <c r="F399" s="429"/>
      <c r="G399" s="429"/>
      <c r="H399" s="429"/>
      <c r="I399" s="429"/>
      <c r="J399" s="429"/>
      <c r="K399" s="429"/>
      <c r="L399" s="429"/>
      <c r="M399" s="429"/>
      <c r="N399" s="429"/>
      <c r="O399" s="429"/>
      <c r="P399" s="429"/>
      <c r="Q399" s="429"/>
      <c r="R399" s="429"/>
    </row>
    <row r="400" spans="1:18" ht="24">
      <c r="A400" s="156">
        <v>56.61</v>
      </c>
      <c r="B400" s="149" t="s">
        <v>666</v>
      </c>
      <c r="C400" s="157" t="s">
        <v>667</v>
      </c>
      <c r="D400" s="158">
        <v>4466.9799999999996</v>
      </c>
      <c r="E400" s="158">
        <v>1180.82</v>
      </c>
      <c r="F400" s="158">
        <v>10.49</v>
      </c>
      <c r="G400" s="158">
        <v>3275.67</v>
      </c>
      <c r="H400" s="159">
        <v>41142.82</v>
      </c>
      <c r="I400" s="159">
        <v>15409.72</v>
      </c>
      <c r="J400" s="159">
        <v>53.07</v>
      </c>
      <c r="K400" s="159">
        <v>25680.03</v>
      </c>
      <c r="L400" s="357">
        <v>9.2104329994761578</v>
      </c>
      <c r="M400" s="357">
        <v>13.05</v>
      </c>
      <c r="N400" s="357">
        <v>5.0591039084842704</v>
      </c>
      <c r="O400" s="357">
        <v>7.8396267023234936</v>
      </c>
      <c r="P400" s="160"/>
      <c r="Q400" s="160"/>
      <c r="R400" s="160">
        <v>18</v>
      </c>
    </row>
    <row r="401" spans="1:18" ht="24">
      <c r="A401" s="161">
        <v>56.62</v>
      </c>
      <c r="B401" s="162" t="s">
        <v>668</v>
      </c>
      <c r="C401" s="163" t="s">
        <v>669</v>
      </c>
      <c r="D401" s="164">
        <v>516.48</v>
      </c>
      <c r="E401" s="164">
        <v>216.84</v>
      </c>
      <c r="F401" s="164">
        <v>1.05</v>
      </c>
      <c r="G401" s="164">
        <v>298.58999999999997</v>
      </c>
      <c r="H401" s="165">
        <v>4016.07</v>
      </c>
      <c r="I401" s="165">
        <v>2829.81</v>
      </c>
      <c r="J401" s="165">
        <v>5.31</v>
      </c>
      <c r="K401" s="165">
        <v>1180.95</v>
      </c>
      <c r="L401" s="356">
        <v>7.7758480483271377</v>
      </c>
      <c r="M401" s="356">
        <v>13.05</v>
      </c>
      <c r="N401" s="356">
        <v>5.0571428571428569</v>
      </c>
      <c r="O401" s="356">
        <v>3.955088917914197</v>
      </c>
      <c r="P401" s="166"/>
      <c r="Q401" s="166"/>
      <c r="R401" s="166">
        <v>18</v>
      </c>
    </row>
    <row r="402" spans="1:18" ht="12.75">
      <c r="A402" s="428" t="s">
        <v>670</v>
      </c>
      <c r="B402" s="429"/>
      <c r="C402" s="429"/>
      <c r="D402" s="429"/>
      <c r="E402" s="429"/>
      <c r="F402" s="429"/>
      <c r="G402" s="429"/>
      <c r="H402" s="429"/>
      <c r="I402" s="429"/>
      <c r="J402" s="429"/>
      <c r="K402" s="429"/>
      <c r="L402" s="429"/>
      <c r="M402" s="429"/>
      <c r="N402" s="429"/>
      <c r="O402" s="429"/>
      <c r="P402" s="429"/>
      <c r="Q402" s="429"/>
      <c r="R402" s="429"/>
    </row>
    <row r="403" spans="1:18">
      <c r="A403" s="161">
        <v>56.63</v>
      </c>
      <c r="B403" s="162" t="s">
        <v>671</v>
      </c>
      <c r="C403" s="163" t="s">
        <v>672</v>
      </c>
      <c r="D403" s="164">
        <v>10002.280000000001</v>
      </c>
      <c r="E403" s="164">
        <v>734.58</v>
      </c>
      <c r="F403" s="164"/>
      <c r="G403" s="164">
        <v>9267.7000000000007</v>
      </c>
      <c r="H403" s="165">
        <v>48594.83</v>
      </c>
      <c r="I403" s="165">
        <v>9586.52</v>
      </c>
      <c r="J403" s="165"/>
      <c r="K403" s="165">
        <v>39008.31</v>
      </c>
      <c r="L403" s="356">
        <v>4.8583752904337807</v>
      </c>
      <c r="M403" s="356">
        <v>13.05</v>
      </c>
      <c r="N403" s="356" t="s">
        <v>135</v>
      </c>
      <c r="O403" s="356">
        <v>4.2090605004477908</v>
      </c>
      <c r="P403" s="166"/>
      <c r="Q403" s="166"/>
      <c r="R403" s="166">
        <v>19</v>
      </c>
    </row>
    <row r="404" spans="1:18" ht="12.75">
      <c r="A404" s="428" t="s">
        <v>673</v>
      </c>
      <c r="B404" s="429"/>
      <c r="C404" s="429"/>
      <c r="D404" s="429"/>
      <c r="E404" s="429"/>
      <c r="F404" s="429"/>
      <c r="G404" s="429"/>
      <c r="H404" s="429"/>
      <c r="I404" s="429"/>
      <c r="J404" s="429"/>
      <c r="K404" s="429"/>
      <c r="L404" s="429"/>
      <c r="M404" s="429"/>
      <c r="N404" s="429"/>
      <c r="O404" s="429"/>
      <c r="P404" s="429"/>
      <c r="Q404" s="429"/>
      <c r="R404" s="429"/>
    </row>
    <row r="405" spans="1:18">
      <c r="A405" s="156">
        <v>56.64</v>
      </c>
      <c r="B405" s="149" t="s">
        <v>674</v>
      </c>
      <c r="C405" s="157" t="s">
        <v>675</v>
      </c>
      <c r="D405" s="158">
        <v>3309.57</v>
      </c>
      <c r="E405" s="158">
        <v>1104.6500000000001</v>
      </c>
      <c r="F405" s="158">
        <v>20.059999999999999</v>
      </c>
      <c r="G405" s="158">
        <v>2184.86</v>
      </c>
      <c r="H405" s="159">
        <v>23026.91</v>
      </c>
      <c r="I405" s="159">
        <v>14416.15</v>
      </c>
      <c r="J405" s="159">
        <v>127.45</v>
      </c>
      <c r="K405" s="159">
        <v>8483.31</v>
      </c>
      <c r="L405" s="357">
        <v>6.9576742597981003</v>
      </c>
      <c r="M405" s="357">
        <v>13.05</v>
      </c>
      <c r="N405" s="357">
        <v>6.3534396809571287</v>
      </c>
      <c r="O405" s="357">
        <v>3.8827705207656322</v>
      </c>
      <c r="P405" s="160"/>
      <c r="Q405" s="160"/>
      <c r="R405" s="160">
        <v>20</v>
      </c>
    </row>
    <row r="406" spans="1:18">
      <c r="A406" s="161">
        <v>56.65</v>
      </c>
      <c r="B406" s="162" t="s">
        <v>676</v>
      </c>
      <c r="C406" s="163" t="s">
        <v>677</v>
      </c>
      <c r="D406" s="164">
        <v>5028.16</v>
      </c>
      <c r="E406" s="164">
        <v>2191.66</v>
      </c>
      <c r="F406" s="164">
        <v>50.69</v>
      </c>
      <c r="G406" s="164">
        <v>2785.81</v>
      </c>
      <c r="H406" s="165">
        <v>41012.28</v>
      </c>
      <c r="I406" s="165">
        <v>28601.99</v>
      </c>
      <c r="J406" s="165">
        <v>321.98</v>
      </c>
      <c r="K406" s="165">
        <v>12088.31</v>
      </c>
      <c r="L406" s="356">
        <v>8.15651848787628</v>
      </c>
      <c r="M406" s="356">
        <v>13.05</v>
      </c>
      <c r="N406" s="356">
        <v>6.3519431840599729</v>
      </c>
      <c r="O406" s="356">
        <v>4.3392442413517074</v>
      </c>
      <c r="P406" s="166"/>
      <c r="Q406" s="166"/>
      <c r="R406" s="166">
        <v>20</v>
      </c>
    </row>
    <row r="407" spans="1:18" ht="12.75">
      <c r="A407" s="428" t="s">
        <v>678</v>
      </c>
      <c r="B407" s="429"/>
      <c r="C407" s="429"/>
      <c r="D407" s="429"/>
      <c r="E407" s="429"/>
      <c r="F407" s="429"/>
      <c r="G407" s="429"/>
      <c r="H407" s="429"/>
      <c r="I407" s="429"/>
      <c r="J407" s="429"/>
      <c r="K407" s="429"/>
      <c r="L407" s="429"/>
      <c r="M407" s="429"/>
      <c r="N407" s="429"/>
      <c r="O407" s="429"/>
      <c r="P407" s="429"/>
      <c r="Q407" s="429"/>
      <c r="R407" s="429"/>
    </row>
    <row r="408" spans="1:18" ht="24">
      <c r="A408" s="156">
        <v>56.66</v>
      </c>
      <c r="B408" s="149" t="s">
        <v>679</v>
      </c>
      <c r="C408" s="157" t="s">
        <v>680</v>
      </c>
      <c r="D408" s="158">
        <v>14889.99</v>
      </c>
      <c r="E408" s="158">
        <v>1877.77</v>
      </c>
      <c r="F408" s="158">
        <v>199.71</v>
      </c>
      <c r="G408" s="158">
        <v>12812.51</v>
      </c>
      <c r="H408" s="159">
        <v>79080.2</v>
      </c>
      <c r="I408" s="159">
        <v>24505.07</v>
      </c>
      <c r="J408" s="159">
        <v>1170.6199999999999</v>
      </c>
      <c r="K408" s="159">
        <v>53404.51</v>
      </c>
      <c r="L408" s="357">
        <v>5.310963942890492</v>
      </c>
      <c r="M408" s="357">
        <v>13.05</v>
      </c>
      <c r="N408" s="357">
        <v>5.8615993190125675</v>
      </c>
      <c r="O408" s="357">
        <v>4.1681536248557078</v>
      </c>
      <c r="P408" s="160"/>
      <c r="Q408" s="160"/>
      <c r="R408" s="160">
        <v>21</v>
      </c>
    </row>
    <row r="409" spans="1:18" ht="24">
      <c r="A409" s="156">
        <v>56.67</v>
      </c>
      <c r="B409" s="149" t="s">
        <v>681</v>
      </c>
      <c r="C409" s="157" t="s">
        <v>682</v>
      </c>
      <c r="D409" s="158">
        <v>14725.83</v>
      </c>
      <c r="E409" s="158">
        <v>1713.61</v>
      </c>
      <c r="F409" s="158">
        <v>199.71</v>
      </c>
      <c r="G409" s="158">
        <v>12812.51</v>
      </c>
      <c r="H409" s="159">
        <v>76937.77</v>
      </c>
      <c r="I409" s="159">
        <v>22362.639999999999</v>
      </c>
      <c r="J409" s="159">
        <v>1170.6199999999999</v>
      </c>
      <c r="K409" s="159">
        <v>53404.51</v>
      </c>
      <c r="L409" s="357">
        <v>5.2246813931710472</v>
      </c>
      <c r="M409" s="357">
        <v>13.05</v>
      </c>
      <c r="N409" s="357">
        <v>5.8615993190125675</v>
      </c>
      <c r="O409" s="357">
        <v>4.1681536248557078</v>
      </c>
      <c r="P409" s="160"/>
      <c r="Q409" s="160"/>
      <c r="R409" s="160">
        <v>21</v>
      </c>
    </row>
    <row r="410" spans="1:18" ht="24">
      <c r="A410" s="156">
        <v>56.68</v>
      </c>
      <c r="B410" s="149" t="s">
        <v>683</v>
      </c>
      <c r="C410" s="157" t="s">
        <v>684</v>
      </c>
      <c r="D410" s="158">
        <v>14458.23</v>
      </c>
      <c r="E410" s="158">
        <v>1446.01</v>
      </c>
      <c r="F410" s="158">
        <v>199.71</v>
      </c>
      <c r="G410" s="158">
        <v>12812.51</v>
      </c>
      <c r="H410" s="159">
        <v>73445.39</v>
      </c>
      <c r="I410" s="159">
        <v>18870.259999999998</v>
      </c>
      <c r="J410" s="159">
        <v>1170.6199999999999</v>
      </c>
      <c r="K410" s="159">
        <v>53404.51</v>
      </c>
      <c r="L410" s="357">
        <v>5.0798327319457499</v>
      </c>
      <c r="M410" s="357">
        <v>13.05</v>
      </c>
      <c r="N410" s="357">
        <v>5.8615993190125675</v>
      </c>
      <c r="O410" s="357">
        <v>4.1681536248557078</v>
      </c>
      <c r="P410" s="160"/>
      <c r="Q410" s="160"/>
      <c r="R410" s="160">
        <v>21</v>
      </c>
    </row>
    <row r="411" spans="1:18" ht="24">
      <c r="A411" s="156">
        <v>56.69</v>
      </c>
      <c r="B411" s="149" t="s">
        <v>685</v>
      </c>
      <c r="C411" s="157" t="s">
        <v>686</v>
      </c>
      <c r="D411" s="158">
        <v>15030.26</v>
      </c>
      <c r="E411" s="158">
        <v>2018.04</v>
      </c>
      <c r="F411" s="158">
        <v>199.71</v>
      </c>
      <c r="G411" s="158">
        <v>12812.51</v>
      </c>
      <c r="H411" s="159">
        <v>80910.820000000007</v>
      </c>
      <c r="I411" s="159">
        <v>26335.69</v>
      </c>
      <c r="J411" s="159">
        <v>1170.6199999999999</v>
      </c>
      <c r="K411" s="159">
        <v>53404.51</v>
      </c>
      <c r="L411" s="357">
        <v>5.3831949680178521</v>
      </c>
      <c r="M411" s="357">
        <v>13.05</v>
      </c>
      <c r="N411" s="357">
        <v>5.8615993190125675</v>
      </c>
      <c r="O411" s="357">
        <v>4.1681536248557078</v>
      </c>
      <c r="P411" s="160"/>
      <c r="Q411" s="160"/>
      <c r="R411" s="160">
        <v>21</v>
      </c>
    </row>
    <row r="412" spans="1:18" ht="24">
      <c r="A412" s="156">
        <v>56.7</v>
      </c>
      <c r="B412" s="149" t="s">
        <v>687</v>
      </c>
      <c r="C412" s="157" t="s">
        <v>688</v>
      </c>
      <c r="D412" s="158">
        <v>14458.23</v>
      </c>
      <c r="E412" s="158">
        <v>1446.01</v>
      </c>
      <c r="F412" s="158">
        <v>199.71</v>
      </c>
      <c r="G412" s="158">
        <v>12812.51</v>
      </c>
      <c r="H412" s="159">
        <v>73445.39</v>
      </c>
      <c r="I412" s="159">
        <v>18870.259999999998</v>
      </c>
      <c r="J412" s="159">
        <v>1170.6199999999999</v>
      </c>
      <c r="K412" s="159">
        <v>53404.51</v>
      </c>
      <c r="L412" s="357">
        <v>5.0798327319457499</v>
      </c>
      <c r="M412" s="357">
        <v>13.05</v>
      </c>
      <c r="N412" s="357">
        <v>5.8615993190125675</v>
      </c>
      <c r="O412" s="357">
        <v>4.1681536248557078</v>
      </c>
      <c r="P412" s="160"/>
      <c r="Q412" s="160"/>
      <c r="R412" s="160">
        <v>21</v>
      </c>
    </row>
    <row r="413" spans="1:18" ht="24">
      <c r="A413" s="161">
        <v>56.71</v>
      </c>
      <c r="B413" s="162" t="s">
        <v>689</v>
      </c>
      <c r="C413" s="163" t="s">
        <v>690</v>
      </c>
      <c r="D413" s="164">
        <v>14382.5</v>
      </c>
      <c r="E413" s="164">
        <v>1370.28</v>
      </c>
      <c r="F413" s="164">
        <v>199.71</v>
      </c>
      <c r="G413" s="164">
        <v>12812.51</v>
      </c>
      <c r="H413" s="165">
        <v>72457.17</v>
      </c>
      <c r="I413" s="165">
        <v>17882.04</v>
      </c>
      <c r="J413" s="165">
        <v>1170.6199999999999</v>
      </c>
      <c r="K413" s="165">
        <v>53404.51</v>
      </c>
      <c r="L413" s="356">
        <v>5.0378703285242477</v>
      </c>
      <c r="M413" s="356">
        <v>13.05</v>
      </c>
      <c r="N413" s="356">
        <v>5.8615993190125675</v>
      </c>
      <c r="O413" s="356">
        <v>4.1681536248557078</v>
      </c>
      <c r="P413" s="166"/>
      <c r="Q413" s="166"/>
      <c r="R413" s="166">
        <v>21</v>
      </c>
    </row>
    <row r="414" spans="1:18" ht="12.75">
      <c r="A414" s="428" t="s">
        <v>691</v>
      </c>
      <c r="B414" s="429"/>
      <c r="C414" s="429"/>
      <c r="D414" s="429"/>
      <c r="E414" s="429"/>
      <c r="F414" s="429"/>
      <c r="G414" s="429"/>
      <c r="H414" s="429"/>
      <c r="I414" s="429"/>
      <c r="J414" s="429"/>
      <c r="K414" s="429"/>
      <c r="L414" s="429"/>
      <c r="M414" s="429"/>
      <c r="N414" s="429"/>
      <c r="O414" s="429"/>
      <c r="P414" s="429"/>
      <c r="Q414" s="429"/>
      <c r="R414" s="429"/>
    </row>
    <row r="415" spans="1:18" ht="24">
      <c r="A415" s="156">
        <v>56.72</v>
      </c>
      <c r="B415" s="149" t="s">
        <v>692</v>
      </c>
      <c r="C415" s="157" t="s">
        <v>693</v>
      </c>
      <c r="D415" s="158">
        <v>31824.82</v>
      </c>
      <c r="E415" s="158">
        <v>263.44</v>
      </c>
      <c r="F415" s="158">
        <v>131.51</v>
      </c>
      <c r="G415" s="158">
        <v>31429.87</v>
      </c>
      <c r="H415" s="159">
        <v>105183.23</v>
      </c>
      <c r="I415" s="159">
        <v>3437.89</v>
      </c>
      <c r="J415" s="159">
        <v>785.79</v>
      </c>
      <c r="K415" s="159">
        <v>100959.55</v>
      </c>
      <c r="L415" s="357">
        <v>3.3050691252927744</v>
      </c>
      <c r="M415" s="357">
        <v>13.05</v>
      </c>
      <c r="N415" s="357">
        <v>5.9751349707246595</v>
      </c>
      <c r="O415" s="357">
        <v>3.2122165952324973</v>
      </c>
      <c r="P415" s="160"/>
      <c r="Q415" s="160"/>
      <c r="R415" s="160">
        <v>22</v>
      </c>
    </row>
    <row r="416" spans="1:18" ht="24">
      <c r="A416" s="156">
        <v>56.73</v>
      </c>
      <c r="B416" s="149" t="s">
        <v>694</v>
      </c>
      <c r="C416" s="157" t="s">
        <v>695</v>
      </c>
      <c r="D416" s="158">
        <v>32012.61</v>
      </c>
      <c r="E416" s="158">
        <v>451.23</v>
      </c>
      <c r="F416" s="158">
        <v>131.51</v>
      </c>
      <c r="G416" s="158">
        <v>31429.87</v>
      </c>
      <c r="H416" s="159">
        <v>107633.8</v>
      </c>
      <c r="I416" s="159">
        <v>5888.46</v>
      </c>
      <c r="J416" s="159">
        <v>785.79</v>
      </c>
      <c r="K416" s="159">
        <v>100959.55</v>
      </c>
      <c r="L416" s="357">
        <v>3.3622313207201788</v>
      </c>
      <c r="M416" s="357">
        <v>13.05</v>
      </c>
      <c r="N416" s="357">
        <v>5.9751349707246595</v>
      </c>
      <c r="O416" s="357">
        <v>3.2122165952324973</v>
      </c>
      <c r="P416" s="160"/>
      <c r="Q416" s="160"/>
      <c r="R416" s="160">
        <v>22</v>
      </c>
    </row>
    <row r="417" spans="1:18" ht="24">
      <c r="A417" s="156">
        <v>56.74</v>
      </c>
      <c r="B417" s="149" t="s">
        <v>696</v>
      </c>
      <c r="C417" s="157" t="s">
        <v>697</v>
      </c>
      <c r="D417" s="158">
        <v>31734.86</v>
      </c>
      <c r="E417" s="158">
        <v>173.48</v>
      </c>
      <c r="F417" s="158">
        <v>131.51</v>
      </c>
      <c r="G417" s="158">
        <v>31429.87</v>
      </c>
      <c r="H417" s="159">
        <v>104009.31</v>
      </c>
      <c r="I417" s="159">
        <v>2263.9699999999998</v>
      </c>
      <c r="J417" s="159">
        <v>785.79</v>
      </c>
      <c r="K417" s="159">
        <v>100959.55</v>
      </c>
      <c r="L417" s="357">
        <v>3.2774466312440009</v>
      </c>
      <c r="M417" s="357">
        <v>13.05</v>
      </c>
      <c r="N417" s="357">
        <v>5.9751349707246595</v>
      </c>
      <c r="O417" s="357">
        <v>3.2122165952324973</v>
      </c>
      <c r="P417" s="160"/>
      <c r="Q417" s="160"/>
      <c r="R417" s="160">
        <v>22</v>
      </c>
    </row>
    <row r="418" spans="1:18" ht="24">
      <c r="A418" s="156">
        <v>56.75</v>
      </c>
      <c r="B418" s="149" t="s">
        <v>698</v>
      </c>
      <c r="C418" s="157" t="s">
        <v>699</v>
      </c>
      <c r="D418" s="158">
        <v>31872.99</v>
      </c>
      <c r="E418" s="158">
        <v>311.61</v>
      </c>
      <c r="F418" s="158">
        <v>131.51</v>
      </c>
      <c r="G418" s="158">
        <v>31429.87</v>
      </c>
      <c r="H418" s="159">
        <v>105811.87</v>
      </c>
      <c r="I418" s="159">
        <v>4066.53</v>
      </c>
      <c r="J418" s="159">
        <v>785.79</v>
      </c>
      <c r="K418" s="159">
        <v>100959.55</v>
      </c>
      <c r="L418" s="357">
        <v>3.3197974209510934</v>
      </c>
      <c r="M418" s="357">
        <v>13.05</v>
      </c>
      <c r="N418" s="357">
        <v>5.9751349707246595</v>
      </c>
      <c r="O418" s="357">
        <v>3.2122165952324973</v>
      </c>
      <c r="P418" s="160"/>
      <c r="Q418" s="160"/>
      <c r="R418" s="160">
        <v>22</v>
      </c>
    </row>
    <row r="419" spans="1:18" ht="24">
      <c r="A419" s="161">
        <v>56.76</v>
      </c>
      <c r="B419" s="162" t="s">
        <v>700</v>
      </c>
      <c r="C419" s="163" t="s">
        <v>701</v>
      </c>
      <c r="D419" s="164">
        <v>31631.49</v>
      </c>
      <c r="E419" s="164">
        <v>70.11</v>
      </c>
      <c r="F419" s="164">
        <v>131.51</v>
      </c>
      <c r="G419" s="164">
        <v>31429.87</v>
      </c>
      <c r="H419" s="165">
        <v>102660.24</v>
      </c>
      <c r="I419" s="165">
        <v>914.9</v>
      </c>
      <c r="J419" s="165">
        <v>785.79</v>
      </c>
      <c r="K419" s="165">
        <v>100959.55</v>
      </c>
      <c r="L419" s="356">
        <v>3.2455075622425626</v>
      </c>
      <c r="M419" s="356">
        <v>13.05</v>
      </c>
      <c r="N419" s="356">
        <v>5.9751349707246595</v>
      </c>
      <c r="O419" s="356">
        <v>3.2122165952324973</v>
      </c>
      <c r="P419" s="166"/>
      <c r="Q419" s="166"/>
      <c r="R419" s="166">
        <v>22</v>
      </c>
    </row>
    <row r="420" spans="1:18" ht="12.75">
      <c r="A420" s="428" t="s">
        <v>702</v>
      </c>
      <c r="B420" s="429"/>
      <c r="C420" s="429"/>
      <c r="D420" s="429"/>
      <c r="E420" s="429"/>
      <c r="F420" s="429"/>
      <c r="G420" s="429"/>
      <c r="H420" s="429"/>
      <c r="I420" s="429"/>
      <c r="J420" s="429"/>
      <c r="K420" s="429"/>
      <c r="L420" s="429"/>
      <c r="M420" s="429"/>
      <c r="N420" s="429"/>
      <c r="O420" s="429"/>
      <c r="P420" s="429"/>
      <c r="Q420" s="429"/>
      <c r="R420" s="429"/>
    </row>
    <row r="421" spans="1:18">
      <c r="A421" s="161">
        <v>56.77</v>
      </c>
      <c r="B421" s="162" t="s">
        <v>703</v>
      </c>
      <c r="C421" s="163" t="s">
        <v>704</v>
      </c>
      <c r="D421" s="164">
        <v>7713.04</v>
      </c>
      <c r="E421" s="164">
        <v>471.24</v>
      </c>
      <c r="F421" s="164">
        <v>28.19</v>
      </c>
      <c r="G421" s="164">
        <v>7213.61</v>
      </c>
      <c r="H421" s="165">
        <v>51144.9</v>
      </c>
      <c r="I421" s="165">
        <v>6149.88</v>
      </c>
      <c r="J421" s="165">
        <v>185.03</v>
      </c>
      <c r="K421" s="165">
        <v>44809.99</v>
      </c>
      <c r="L421" s="356">
        <v>6.6309652225322315</v>
      </c>
      <c r="M421" s="356">
        <v>13.05</v>
      </c>
      <c r="N421" s="356">
        <v>6.563675062078751</v>
      </c>
      <c r="O421" s="356">
        <v>6.2118675670018204</v>
      </c>
      <c r="P421" s="166"/>
      <c r="Q421" s="166"/>
      <c r="R421" s="166">
        <v>23</v>
      </c>
    </row>
    <row r="422" spans="1:18" ht="12.75">
      <c r="A422" s="428" t="s">
        <v>705</v>
      </c>
      <c r="B422" s="429"/>
      <c r="C422" s="429"/>
      <c r="D422" s="429"/>
      <c r="E422" s="429"/>
      <c r="F422" s="429"/>
      <c r="G422" s="429"/>
      <c r="H422" s="429"/>
      <c r="I422" s="429"/>
      <c r="J422" s="429"/>
      <c r="K422" s="429"/>
      <c r="L422" s="429"/>
      <c r="M422" s="429"/>
      <c r="N422" s="429"/>
      <c r="O422" s="429"/>
      <c r="P422" s="429"/>
      <c r="Q422" s="429"/>
      <c r="R422" s="429"/>
    </row>
    <row r="423" spans="1:18" ht="24">
      <c r="A423" s="156">
        <v>56.78</v>
      </c>
      <c r="B423" s="149" t="s">
        <v>706</v>
      </c>
      <c r="C423" s="157" t="s">
        <v>707</v>
      </c>
      <c r="D423" s="158">
        <v>30821.49</v>
      </c>
      <c r="E423" s="158">
        <v>2972.16</v>
      </c>
      <c r="F423" s="158">
        <v>184.76</v>
      </c>
      <c r="G423" s="158">
        <v>27664.57</v>
      </c>
      <c r="H423" s="159">
        <v>135258.64000000001</v>
      </c>
      <c r="I423" s="159">
        <v>38787.839999999997</v>
      </c>
      <c r="J423" s="159">
        <v>927.5</v>
      </c>
      <c r="K423" s="159">
        <v>95543.3</v>
      </c>
      <c r="L423" s="357">
        <v>4.3884523428296296</v>
      </c>
      <c r="M423" s="357">
        <v>13.05</v>
      </c>
      <c r="N423" s="357">
        <v>5.020025979649275</v>
      </c>
      <c r="O423" s="357">
        <v>3.4536340163609989</v>
      </c>
      <c r="P423" s="160"/>
      <c r="Q423" s="160"/>
      <c r="R423" s="160">
        <v>24</v>
      </c>
    </row>
    <row r="424" spans="1:18" ht="12.75">
      <c r="A424" s="147"/>
      <c r="B424" s="153"/>
      <c r="C424" s="152"/>
      <c r="D424" s="154"/>
      <c r="E424" s="154"/>
      <c r="F424" s="154"/>
      <c r="G424" s="154"/>
      <c r="H424" s="155"/>
      <c r="I424" s="155"/>
      <c r="J424" s="155"/>
      <c r="K424" s="155"/>
      <c r="L424" s="355"/>
      <c r="M424" s="355"/>
      <c r="N424" s="355"/>
      <c r="O424" s="354"/>
      <c r="P424" s="146"/>
      <c r="Q424" s="146"/>
      <c r="R424" s="146"/>
    </row>
    <row r="425" spans="1:18">
      <c r="A425" s="127"/>
      <c r="B425" s="130"/>
      <c r="C425" s="127"/>
      <c r="D425" s="127"/>
      <c r="E425" s="127"/>
      <c r="F425" s="127"/>
      <c r="G425" s="127"/>
      <c r="H425" s="129"/>
      <c r="I425" s="129"/>
      <c r="J425" s="129"/>
      <c r="K425" s="129"/>
      <c r="O425" s="353"/>
      <c r="P425" s="127"/>
      <c r="Q425" s="127"/>
      <c r="R425" s="127"/>
    </row>
    <row r="426" spans="1:18">
      <c r="O426" s="353"/>
    </row>
    <row r="427" spans="1:18">
      <c r="O427" s="352"/>
    </row>
    <row r="428" spans="1:18" ht="23.25">
      <c r="A428" s="61"/>
      <c r="B428" s="60"/>
      <c r="C428" s="45" t="s">
        <v>867</v>
      </c>
      <c r="D428" s="45"/>
      <c r="E428" s="45"/>
      <c r="F428" s="45"/>
      <c r="G428" s="45"/>
      <c r="H428" s="58"/>
      <c r="I428" s="58"/>
      <c r="J428" s="58"/>
      <c r="K428" s="58"/>
      <c r="L428" s="351"/>
      <c r="M428" s="351"/>
      <c r="N428" s="351"/>
      <c r="O428" s="350"/>
    </row>
    <row r="429" spans="1:18" ht="12.75">
      <c r="A429" s="428" t="s">
        <v>708</v>
      </c>
      <c r="B429" s="429"/>
      <c r="C429" s="429"/>
      <c r="D429" s="429"/>
      <c r="E429" s="429"/>
      <c r="F429" s="429"/>
      <c r="G429" s="429"/>
      <c r="H429" s="429"/>
      <c r="I429" s="429"/>
      <c r="J429" s="429"/>
      <c r="K429" s="429"/>
      <c r="L429" s="429"/>
      <c r="M429" s="429"/>
      <c r="N429" s="429"/>
      <c r="O429" s="429"/>
      <c r="P429" s="429"/>
      <c r="Q429" s="429"/>
      <c r="R429" s="429"/>
    </row>
    <row r="430" spans="1:18" ht="24">
      <c r="A430" s="177">
        <v>57.1</v>
      </c>
      <c r="B430" s="170" t="s">
        <v>709</v>
      </c>
      <c r="C430" s="178" t="s">
        <v>710</v>
      </c>
      <c r="D430" s="179">
        <v>81.180000000000007</v>
      </c>
      <c r="E430" s="179">
        <v>81.180000000000007</v>
      </c>
      <c r="F430" s="179"/>
      <c r="G430" s="179"/>
      <c r="H430" s="180">
        <v>1059.4000000000001</v>
      </c>
      <c r="I430" s="180">
        <v>1059.4000000000001</v>
      </c>
      <c r="J430" s="180"/>
      <c r="K430" s="180"/>
      <c r="L430" s="357">
        <v>13.050012318305001</v>
      </c>
      <c r="M430" s="357">
        <v>13.05</v>
      </c>
      <c r="N430" s="357" t="s">
        <v>135</v>
      </c>
      <c r="O430" s="357" t="s">
        <v>135</v>
      </c>
      <c r="P430" s="181"/>
      <c r="Q430" s="181"/>
      <c r="R430" s="181">
        <v>1</v>
      </c>
    </row>
    <row r="431" spans="1:18" ht="24">
      <c r="A431" s="177">
        <v>57.2</v>
      </c>
      <c r="B431" s="170" t="s">
        <v>711</v>
      </c>
      <c r="C431" s="178" t="s">
        <v>712</v>
      </c>
      <c r="D431" s="179">
        <v>71.48</v>
      </c>
      <c r="E431" s="179">
        <v>71.48</v>
      </c>
      <c r="F431" s="179"/>
      <c r="G431" s="179"/>
      <c r="H431" s="180">
        <v>932.9</v>
      </c>
      <c r="I431" s="180">
        <v>932.9</v>
      </c>
      <c r="J431" s="180"/>
      <c r="K431" s="180"/>
      <c r="L431" s="357">
        <v>13.051203133743703</v>
      </c>
      <c r="M431" s="357">
        <v>13.05</v>
      </c>
      <c r="N431" s="357" t="s">
        <v>135</v>
      </c>
      <c r="O431" s="357" t="s">
        <v>135</v>
      </c>
      <c r="P431" s="181"/>
      <c r="Q431" s="181"/>
      <c r="R431" s="181">
        <v>1</v>
      </c>
    </row>
    <row r="432" spans="1:18" ht="24">
      <c r="A432" s="177">
        <v>57.3</v>
      </c>
      <c r="B432" s="170" t="s">
        <v>713</v>
      </c>
      <c r="C432" s="178" t="s">
        <v>714</v>
      </c>
      <c r="D432" s="179">
        <v>162.54</v>
      </c>
      <c r="E432" s="179">
        <v>162.54</v>
      </c>
      <c r="F432" s="179"/>
      <c r="G432" s="179"/>
      <c r="H432" s="180">
        <v>2121.23</v>
      </c>
      <c r="I432" s="180">
        <v>2121.23</v>
      </c>
      <c r="J432" s="180"/>
      <c r="K432" s="180"/>
      <c r="L432" s="357">
        <v>13.050510643533901</v>
      </c>
      <c r="M432" s="357">
        <v>13.05</v>
      </c>
      <c r="N432" s="357" t="s">
        <v>135</v>
      </c>
      <c r="O432" s="357" t="s">
        <v>135</v>
      </c>
      <c r="P432" s="181"/>
      <c r="Q432" s="181"/>
      <c r="R432" s="181">
        <v>1</v>
      </c>
    </row>
    <row r="433" spans="1:18" ht="24">
      <c r="A433" s="182">
        <v>57.4</v>
      </c>
      <c r="B433" s="183" t="s">
        <v>715</v>
      </c>
      <c r="C433" s="184" t="s">
        <v>716</v>
      </c>
      <c r="D433" s="185">
        <v>138.87</v>
      </c>
      <c r="E433" s="185">
        <v>138.87</v>
      </c>
      <c r="F433" s="185"/>
      <c r="G433" s="185"/>
      <c r="H433" s="186">
        <v>1812.29</v>
      </c>
      <c r="I433" s="186">
        <v>1812.29</v>
      </c>
      <c r="J433" s="186"/>
      <c r="K433" s="186"/>
      <c r="L433" s="356">
        <v>13.050262835745661</v>
      </c>
      <c r="M433" s="356">
        <v>13.05</v>
      </c>
      <c r="N433" s="356" t="s">
        <v>135</v>
      </c>
      <c r="O433" s="356" t="s">
        <v>135</v>
      </c>
      <c r="P433" s="187"/>
      <c r="Q433" s="187"/>
      <c r="R433" s="187">
        <v>1</v>
      </c>
    </row>
    <row r="434" spans="1:18" ht="12.75">
      <c r="A434" s="428" t="s">
        <v>717</v>
      </c>
      <c r="B434" s="429"/>
      <c r="C434" s="429"/>
      <c r="D434" s="429"/>
      <c r="E434" s="429"/>
      <c r="F434" s="429"/>
      <c r="G434" s="429"/>
      <c r="H434" s="429"/>
      <c r="I434" s="429"/>
      <c r="J434" s="429"/>
      <c r="K434" s="429"/>
      <c r="L434" s="429"/>
      <c r="M434" s="429"/>
      <c r="N434" s="429"/>
      <c r="O434" s="429"/>
      <c r="P434" s="429"/>
      <c r="Q434" s="429"/>
      <c r="R434" s="429"/>
    </row>
    <row r="435" spans="1:18" ht="24">
      <c r="A435" s="177">
        <v>57.5</v>
      </c>
      <c r="B435" s="170" t="s">
        <v>718</v>
      </c>
      <c r="C435" s="178" t="s">
        <v>719</v>
      </c>
      <c r="D435" s="179">
        <v>110.91</v>
      </c>
      <c r="E435" s="179">
        <v>106.15</v>
      </c>
      <c r="F435" s="179">
        <v>4.76</v>
      </c>
      <c r="G435" s="179"/>
      <c r="H435" s="180">
        <v>1421.5</v>
      </c>
      <c r="I435" s="180">
        <v>1385.37</v>
      </c>
      <c r="J435" s="180">
        <v>36.130000000000003</v>
      </c>
      <c r="K435" s="180"/>
      <c r="L435" s="357">
        <v>12.816698223785052</v>
      </c>
      <c r="M435" s="357">
        <v>13.05</v>
      </c>
      <c r="N435" s="357">
        <v>7.5903361344537821</v>
      </c>
      <c r="O435" s="357" t="s">
        <v>135</v>
      </c>
      <c r="P435" s="181"/>
      <c r="Q435" s="181"/>
      <c r="R435" s="181">
        <v>2</v>
      </c>
    </row>
    <row r="436" spans="1:18" ht="24">
      <c r="A436" s="177">
        <v>57.6</v>
      </c>
      <c r="B436" s="170" t="s">
        <v>720</v>
      </c>
      <c r="C436" s="178" t="s">
        <v>721</v>
      </c>
      <c r="D436" s="179">
        <v>335.53</v>
      </c>
      <c r="E436" s="179">
        <v>330.77</v>
      </c>
      <c r="F436" s="179">
        <v>4.76</v>
      </c>
      <c r="G436" s="179"/>
      <c r="H436" s="180">
        <v>4352.78</v>
      </c>
      <c r="I436" s="180">
        <v>4316.6499999999996</v>
      </c>
      <c r="J436" s="180">
        <v>36.130000000000003</v>
      </c>
      <c r="K436" s="180"/>
      <c r="L436" s="357">
        <v>12.972848925580426</v>
      </c>
      <c r="M436" s="357">
        <v>13.05</v>
      </c>
      <c r="N436" s="357">
        <v>7.5903361344537821</v>
      </c>
      <c r="O436" s="357" t="s">
        <v>135</v>
      </c>
      <c r="P436" s="181"/>
      <c r="Q436" s="181"/>
      <c r="R436" s="181">
        <v>2</v>
      </c>
    </row>
    <row r="437" spans="1:18" ht="24">
      <c r="A437" s="177">
        <v>57.7</v>
      </c>
      <c r="B437" s="170" t="s">
        <v>722</v>
      </c>
      <c r="C437" s="178" t="s">
        <v>723</v>
      </c>
      <c r="D437" s="179">
        <v>764.7</v>
      </c>
      <c r="E437" s="179">
        <v>711.98</v>
      </c>
      <c r="F437" s="179">
        <v>52.72</v>
      </c>
      <c r="G437" s="179"/>
      <c r="H437" s="180">
        <v>9691.49</v>
      </c>
      <c r="I437" s="180">
        <v>9291.31</v>
      </c>
      <c r="J437" s="180">
        <v>400.18</v>
      </c>
      <c r="K437" s="180"/>
      <c r="L437" s="357">
        <v>12.673584412187784</v>
      </c>
      <c r="M437" s="357">
        <v>13.05</v>
      </c>
      <c r="N437" s="357">
        <v>7.5906676783004556</v>
      </c>
      <c r="O437" s="357" t="s">
        <v>135</v>
      </c>
      <c r="P437" s="181"/>
      <c r="Q437" s="181"/>
      <c r="R437" s="181">
        <v>2</v>
      </c>
    </row>
    <row r="438" spans="1:18">
      <c r="A438" s="177">
        <v>57.8</v>
      </c>
      <c r="B438" s="170" t="s">
        <v>724</v>
      </c>
      <c r="C438" s="178" t="s">
        <v>725</v>
      </c>
      <c r="D438" s="179">
        <v>3197.17</v>
      </c>
      <c r="E438" s="179">
        <v>1133.1300000000001</v>
      </c>
      <c r="F438" s="179">
        <v>2064.04</v>
      </c>
      <c r="G438" s="179"/>
      <c r="H438" s="180">
        <v>31048.3</v>
      </c>
      <c r="I438" s="180">
        <v>14787.38</v>
      </c>
      <c r="J438" s="180">
        <v>16260.92</v>
      </c>
      <c r="K438" s="180"/>
      <c r="L438" s="357">
        <v>9.7111820766490364</v>
      </c>
      <c r="M438" s="357">
        <v>13.05</v>
      </c>
      <c r="N438" s="357">
        <v>7.8782000348830454</v>
      </c>
      <c r="O438" s="357" t="s">
        <v>135</v>
      </c>
      <c r="P438" s="181"/>
      <c r="Q438" s="181"/>
      <c r="R438" s="181">
        <v>2</v>
      </c>
    </row>
    <row r="439" spans="1:18" ht="24">
      <c r="A439" s="177">
        <v>57.9</v>
      </c>
      <c r="B439" s="170" t="s">
        <v>726</v>
      </c>
      <c r="C439" s="178" t="s">
        <v>727</v>
      </c>
      <c r="D439" s="179">
        <v>156.19</v>
      </c>
      <c r="E439" s="179">
        <v>150.69999999999999</v>
      </c>
      <c r="F439" s="179">
        <v>5.49</v>
      </c>
      <c r="G439" s="179"/>
      <c r="H439" s="180">
        <v>2008.45</v>
      </c>
      <c r="I439" s="180">
        <v>1966.76</v>
      </c>
      <c r="J439" s="180">
        <v>41.69</v>
      </c>
      <c r="K439" s="180"/>
      <c r="L439" s="357">
        <v>12.859017862859339</v>
      </c>
      <c r="M439" s="357">
        <v>13.05</v>
      </c>
      <c r="N439" s="357">
        <v>7.5938069216757738</v>
      </c>
      <c r="O439" s="357" t="s">
        <v>135</v>
      </c>
      <c r="P439" s="181"/>
      <c r="Q439" s="181"/>
      <c r="R439" s="181">
        <v>2</v>
      </c>
    </row>
    <row r="440" spans="1:18" ht="24">
      <c r="A440" s="177">
        <v>57.1</v>
      </c>
      <c r="B440" s="170" t="s">
        <v>728</v>
      </c>
      <c r="C440" s="178" t="s">
        <v>729</v>
      </c>
      <c r="D440" s="179">
        <v>234.47</v>
      </c>
      <c r="E440" s="179">
        <v>223.12</v>
      </c>
      <c r="F440" s="179">
        <v>11.35</v>
      </c>
      <c r="G440" s="179"/>
      <c r="H440" s="180">
        <v>2997.97</v>
      </c>
      <c r="I440" s="180">
        <v>2911.82</v>
      </c>
      <c r="J440" s="180">
        <v>86.15</v>
      </c>
      <c r="K440" s="180"/>
      <c r="L440" s="357">
        <v>12.786156011430032</v>
      </c>
      <c r="M440" s="357">
        <v>13.05</v>
      </c>
      <c r="N440" s="357">
        <v>7.5903083700440535</v>
      </c>
      <c r="O440" s="357" t="s">
        <v>135</v>
      </c>
      <c r="P440" s="181"/>
      <c r="Q440" s="181"/>
      <c r="R440" s="181">
        <v>2</v>
      </c>
    </row>
    <row r="441" spans="1:18" ht="24">
      <c r="A441" s="182">
        <v>57.11</v>
      </c>
      <c r="B441" s="183" t="s">
        <v>730</v>
      </c>
      <c r="C441" s="184" t="s">
        <v>731</v>
      </c>
      <c r="D441" s="185">
        <v>107.75</v>
      </c>
      <c r="E441" s="185">
        <v>103.36</v>
      </c>
      <c r="F441" s="185">
        <v>4.3899999999999997</v>
      </c>
      <c r="G441" s="185"/>
      <c r="H441" s="186">
        <v>1382.23</v>
      </c>
      <c r="I441" s="186">
        <v>1348.88</v>
      </c>
      <c r="J441" s="186">
        <v>33.35</v>
      </c>
      <c r="K441" s="186"/>
      <c r="L441" s="356">
        <v>12.828120649651972</v>
      </c>
      <c r="M441" s="356">
        <v>13.05</v>
      </c>
      <c r="N441" s="356">
        <v>7.596810933940775</v>
      </c>
      <c r="O441" s="356" t="s">
        <v>135</v>
      </c>
      <c r="P441" s="187"/>
      <c r="Q441" s="187"/>
      <c r="R441" s="187">
        <v>2</v>
      </c>
    </row>
    <row r="442" spans="1:18" ht="12.75">
      <c r="A442" s="428" t="s">
        <v>732</v>
      </c>
      <c r="B442" s="429"/>
      <c r="C442" s="429"/>
      <c r="D442" s="429"/>
      <c r="E442" s="429"/>
      <c r="F442" s="429"/>
      <c r="G442" s="429"/>
      <c r="H442" s="429"/>
      <c r="I442" s="429"/>
      <c r="J442" s="429"/>
      <c r="K442" s="429"/>
      <c r="L442" s="429"/>
      <c r="M442" s="429"/>
      <c r="N442" s="429"/>
      <c r="O442" s="429"/>
      <c r="P442" s="429"/>
      <c r="Q442" s="429"/>
      <c r="R442" s="429"/>
    </row>
    <row r="443" spans="1:18" ht="24">
      <c r="A443" s="177">
        <v>57.12</v>
      </c>
      <c r="B443" s="170" t="s">
        <v>733</v>
      </c>
      <c r="C443" s="178" t="s">
        <v>734</v>
      </c>
      <c r="D443" s="179">
        <v>35.14</v>
      </c>
      <c r="E443" s="179">
        <v>35.14</v>
      </c>
      <c r="F443" s="179"/>
      <c r="G443" s="179"/>
      <c r="H443" s="180">
        <v>458.55</v>
      </c>
      <c r="I443" s="180">
        <v>458.55</v>
      </c>
      <c r="J443" s="180"/>
      <c r="K443" s="180"/>
      <c r="L443" s="357">
        <v>13.049231644849176</v>
      </c>
      <c r="M443" s="357">
        <v>13.05</v>
      </c>
      <c r="N443" s="357" t="s">
        <v>135</v>
      </c>
      <c r="O443" s="357" t="s">
        <v>135</v>
      </c>
      <c r="P443" s="181"/>
      <c r="Q443" s="181"/>
      <c r="R443" s="181">
        <v>3</v>
      </c>
    </row>
    <row r="444" spans="1:18" ht="24">
      <c r="A444" s="182">
        <v>57.13</v>
      </c>
      <c r="B444" s="183" t="s">
        <v>735</v>
      </c>
      <c r="C444" s="184" t="s">
        <v>736</v>
      </c>
      <c r="D444" s="185">
        <v>133.09</v>
      </c>
      <c r="E444" s="185">
        <v>133.09</v>
      </c>
      <c r="F444" s="185"/>
      <c r="G444" s="185"/>
      <c r="H444" s="186">
        <v>1736.88</v>
      </c>
      <c r="I444" s="186">
        <v>1736.88</v>
      </c>
      <c r="J444" s="186"/>
      <c r="K444" s="186"/>
      <c r="L444" s="356">
        <v>13.050417011045157</v>
      </c>
      <c r="M444" s="356">
        <v>13.05</v>
      </c>
      <c r="N444" s="356" t="s">
        <v>135</v>
      </c>
      <c r="O444" s="356" t="s">
        <v>135</v>
      </c>
      <c r="P444" s="187"/>
      <c r="Q444" s="187"/>
      <c r="R444" s="187">
        <v>3</v>
      </c>
    </row>
    <row r="445" spans="1:18" ht="12.75">
      <c r="A445" s="428" t="s">
        <v>737</v>
      </c>
      <c r="B445" s="429"/>
      <c r="C445" s="429"/>
      <c r="D445" s="429"/>
      <c r="E445" s="429"/>
      <c r="F445" s="429"/>
      <c r="G445" s="429"/>
      <c r="H445" s="429"/>
      <c r="I445" s="429"/>
      <c r="J445" s="429"/>
      <c r="K445" s="429"/>
      <c r="L445" s="429"/>
      <c r="M445" s="429"/>
      <c r="N445" s="429"/>
      <c r="O445" s="429"/>
      <c r="P445" s="429"/>
      <c r="Q445" s="429"/>
      <c r="R445" s="429"/>
    </row>
    <row r="446" spans="1:18">
      <c r="A446" s="177">
        <v>57.14</v>
      </c>
      <c r="B446" s="170" t="s">
        <v>738</v>
      </c>
      <c r="C446" s="178" t="s">
        <v>739</v>
      </c>
      <c r="D446" s="179">
        <v>2059.66</v>
      </c>
      <c r="E446" s="179">
        <v>1232.99</v>
      </c>
      <c r="F446" s="179">
        <v>34.159999999999997</v>
      </c>
      <c r="G446" s="179">
        <v>792.51</v>
      </c>
      <c r="H446" s="180">
        <v>20011.05</v>
      </c>
      <c r="I446" s="180">
        <v>16090.58</v>
      </c>
      <c r="J446" s="180">
        <v>227.2</v>
      </c>
      <c r="K446" s="180">
        <v>3693.27</v>
      </c>
      <c r="L446" s="357">
        <v>9.7157055047920533</v>
      </c>
      <c r="M446" s="357">
        <v>13.05</v>
      </c>
      <c r="N446" s="357">
        <v>6.6510538641686185</v>
      </c>
      <c r="O446" s="357">
        <v>4.6602187985009653</v>
      </c>
      <c r="P446" s="181"/>
      <c r="Q446" s="181"/>
      <c r="R446" s="181">
        <v>4</v>
      </c>
    </row>
    <row r="447" spans="1:18" ht="24">
      <c r="A447" s="177">
        <v>57.15</v>
      </c>
      <c r="B447" s="170" t="s">
        <v>740</v>
      </c>
      <c r="C447" s="178" t="s">
        <v>741</v>
      </c>
      <c r="D447" s="179">
        <v>120.24</v>
      </c>
      <c r="E447" s="179">
        <v>120.24</v>
      </c>
      <c r="F447" s="179"/>
      <c r="G447" s="179"/>
      <c r="H447" s="180">
        <v>1569.16</v>
      </c>
      <c r="I447" s="180">
        <v>1569.16</v>
      </c>
      <c r="J447" s="180"/>
      <c r="K447" s="180"/>
      <c r="L447" s="357">
        <v>13.050232867598138</v>
      </c>
      <c r="M447" s="357">
        <v>13.05</v>
      </c>
      <c r="N447" s="357" t="s">
        <v>135</v>
      </c>
      <c r="O447" s="357" t="s">
        <v>135</v>
      </c>
      <c r="P447" s="181"/>
      <c r="Q447" s="181"/>
      <c r="R447" s="181">
        <v>4</v>
      </c>
    </row>
    <row r="448" spans="1:18" ht="24">
      <c r="A448" s="177">
        <v>57.16</v>
      </c>
      <c r="B448" s="170" t="s">
        <v>742</v>
      </c>
      <c r="C448" s="178" t="s">
        <v>743</v>
      </c>
      <c r="D448" s="179">
        <v>604.27</v>
      </c>
      <c r="E448" s="179">
        <v>604.27</v>
      </c>
      <c r="F448" s="179"/>
      <c r="G448" s="179"/>
      <c r="H448" s="180">
        <v>7885.71</v>
      </c>
      <c r="I448" s="180">
        <v>7885.71</v>
      </c>
      <c r="J448" s="180"/>
      <c r="K448" s="180"/>
      <c r="L448" s="357">
        <v>13.049977658993496</v>
      </c>
      <c r="M448" s="357">
        <v>13.05</v>
      </c>
      <c r="N448" s="357" t="s">
        <v>135</v>
      </c>
      <c r="O448" s="357" t="s">
        <v>135</v>
      </c>
      <c r="P448" s="181"/>
      <c r="Q448" s="181"/>
      <c r="R448" s="181">
        <v>4</v>
      </c>
    </row>
    <row r="449" spans="1:18" ht="24">
      <c r="A449" s="177">
        <v>57.17</v>
      </c>
      <c r="B449" s="170" t="s">
        <v>744</v>
      </c>
      <c r="C449" s="178" t="s">
        <v>745</v>
      </c>
      <c r="D449" s="179">
        <v>3122.18</v>
      </c>
      <c r="E449" s="179">
        <v>1273.75</v>
      </c>
      <c r="F449" s="179">
        <v>77.11</v>
      </c>
      <c r="G449" s="179">
        <v>1771.32</v>
      </c>
      <c r="H449" s="180">
        <v>25460.55</v>
      </c>
      <c r="I449" s="180">
        <v>16622.5</v>
      </c>
      <c r="J449" s="180">
        <v>500.07</v>
      </c>
      <c r="K449" s="180">
        <v>8337.98</v>
      </c>
      <c r="L449" s="357">
        <v>8.1547348327130411</v>
      </c>
      <c r="M449" s="357">
        <v>13.05</v>
      </c>
      <c r="N449" s="357">
        <v>6.4851510828686294</v>
      </c>
      <c r="O449" s="357">
        <v>4.7072127001332342</v>
      </c>
      <c r="P449" s="181"/>
      <c r="Q449" s="181"/>
      <c r="R449" s="181">
        <v>4</v>
      </c>
    </row>
    <row r="450" spans="1:18" ht="24">
      <c r="A450" s="177">
        <v>57.18</v>
      </c>
      <c r="B450" s="170" t="s">
        <v>746</v>
      </c>
      <c r="C450" s="178" t="s">
        <v>747</v>
      </c>
      <c r="D450" s="179">
        <v>5809.34</v>
      </c>
      <c r="E450" s="179">
        <v>1487.74</v>
      </c>
      <c r="F450" s="179">
        <v>176.66</v>
      </c>
      <c r="G450" s="179">
        <v>4144.9399999999996</v>
      </c>
      <c r="H450" s="180">
        <v>40112.85</v>
      </c>
      <c r="I450" s="180">
        <v>19415.080000000002</v>
      </c>
      <c r="J450" s="180">
        <v>1096.3599999999999</v>
      </c>
      <c r="K450" s="180">
        <v>19601.41</v>
      </c>
      <c r="L450" s="357">
        <v>6.9048893678111449</v>
      </c>
      <c r="M450" s="357">
        <v>13.05</v>
      </c>
      <c r="N450" s="357">
        <v>6.2060455111513635</v>
      </c>
      <c r="O450" s="357">
        <v>4.7289972834347429</v>
      </c>
      <c r="P450" s="181"/>
      <c r="Q450" s="181"/>
      <c r="R450" s="181">
        <v>4</v>
      </c>
    </row>
    <row r="451" spans="1:18" ht="24">
      <c r="A451" s="177">
        <v>57.19</v>
      </c>
      <c r="B451" s="170" t="s">
        <v>748</v>
      </c>
      <c r="C451" s="178" t="s">
        <v>749</v>
      </c>
      <c r="D451" s="179">
        <v>123.3</v>
      </c>
      <c r="E451" s="179">
        <v>123.3</v>
      </c>
      <c r="F451" s="179"/>
      <c r="G451" s="179"/>
      <c r="H451" s="180">
        <v>1609.06</v>
      </c>
      <c r="I451" s="180">
        <v>1609.06</v>
      </c>
      <c r="J451" s="180"/>
      <c r="K451" s="180"/>
      <c r="L451" s="357">
        <v>13.049959448499594</v>
      </c>
      <c r="M451" s="357">
        <v>13.05</v>
      </c>
      <c r="N451" s="357" t="s">
        <v>135</v>
      </c>
      <c r="O451" s="357" t="s">
        <v>135</v>
      </c>
      <c r="P451" s="181"/>
      <c r="Q451" s="181"/>
      <c r="R451" s="181">
        <v>4</v>
      </c>
    </row>
    <row r="452" spans="1:18" ht="24">
      <c r="A452" s="177">
        <v>57.2</v>
      </c>
      <c r="B452" s="170" t="s">
        <v>750</v>
      </c>
      <c r="C452" s="178" t="s">
        <v>751</v>
      </c>
      <c r="D452" s="179">
        <v>621.59</v>
      </c>
      <c r="E452" s="179">
        <v>621.59</v>
      </c>
      <c r="F452" s="179"/>
      <c r="G452" s="179"/>
      <c r="H452" s="180">
        <v>8111.78</v>
      </c>
      <c r="I452" s="180">
        <v>8111.78</v>
      </c>
      <c r="J452" s="180"/>
      <c r="K452" s="180"/>
      <c r="L452" s="357">
        <v>13.050049067713443</v>
      </c>
      <c r="M452" s="357">
        <v>13.05</v>
      </c>
      <c r="N452" s="357" t="s">
        <v>135</v>
      </c>
      <c r="O452" s="357" t="s">
        <v>135</v>
      </c>
      <c r="P452" s="181"/>
      <c r="Q452" s="181"/>
      <c r="R452" s="181">
        <v>4</v>
      </c>
    </row>
    <row r="453" spans="1:18" ht="24">
      <c r="A453" s="177">
        <v>57.21</v>
      </c>
      <c r="B453" s="170" t="s">
        <v>752</v>
      </c>
      <c r="C453" s="178" t="s">
        <v>753</v>
      </c>
      <c r="D453" s="179">
        <v>140.62</v>
      </c>
      <c r="E453" s="179">
        <v>140.62</v>
      </c>
      <c r="F453" s="179"/>
      <c r="G453" s="179"/>
      <c r="H453" s="180">
        <v>1835.12</v>
      </c>
      <c r="I453" s="180">
        <v>1835.12</v>
      </c>
      <c r="J453" s="180"/>
      <c r="K453" s="180"/>
      <c r="L453" s="357">
        <v>13.050206229554828</v>
      </c>
      <c r="M453" s="357">
        <v>13.05</v>
      </c>
      <c r="N453" s="357" t="s">
        <v>135</v>
      </c>
      <c r="O453" s="357" t="s">
        <v>135</v>
      </c>
      <c r="P453" s="181"/>
      <c r="Q453" s="181"/>
      <c r="R453" s="181">
        <v>4</v>
      </c>
    </row>
    <row r="454" spans="1:18" ht="24">
      <c r="A454" s="177">
        <v>57.22</v>
      </c>
      <c r="B454" s="170" t="s">
        <v>754</v>
      </c>
      <c r="C454" s="178" t="s">
        <v>755</v>
      </c>
      <c r="D454" s="179">
        <v>703.11</v>
      </c>
      <c r="E454" s="179">
        <v>703.11</v>
      </c>
      <c r="F454" s="179"/>
      <c r="G454" s="179"/>
      <c r="H454" s="180">
        <v>9175.6200000000008</v>
      </c>
      <c r="I454" s="180">
        <v>9175.6200000000008</v>
      </c>
      <c r="J454" s="180"/>
      <c r="K454" s="180"/>
      <c r="L454" s="357">
        <v>13.050049067713445</v>
      </c>
      <c r="M454" s="357">
        <v>13.05</v>
      </c>
      <c r="N454" s="357" t="s">
        <v>135</v>
      </c>
      <c r="O454" s="357" t="s">
        <v>135</v>
      </c>
      <c r="P454" s="181"/>
      <c r="Q454" s="181"/>
      <c r="R454" s="181">
        <v>4</v>
      </c>
    </row>
    <row r="455" spans="1:18">
      <c r="A455" s="182">
        <v>57.23</v>
      </c>
      <c r="B455" s="183" t="s">
        <v>756</v>
      </c>
      <c r="C455" s="184" t="s">
        <v>757</v>
      </c>
      <c r="D455" s="185">
        <v>157.66</v>
      </c>
      <c r="E455" s="185">
        <v>85.6</v>
      </c>
      <c r="F455" s="185"/>
      <c r="G455" s="185">
        <v>72.06</v>
      </c>
      <c r="H455" s="186">
        <v>1390.59</v>
      </c>
      <c r="I455" s="186">
        <v>1117.03</v>
      </c>
      <c r="J455" s="186"/>
      <c r="K455" s="186">
        <v>273.56</v>
      </c>
      <c r="L455" s="356">
        <v>8.820182671571736</v>
      </c>
      <c r="M455" s="356">
        <v>13.05</v>
      </c>
      <c r="N455" s="356" t="s">
        <v>135</v>
      </c>
      <c r="O455" s="356">
        <v>3.7962808770469052</v>
      </c>
      <c r="P455" s="187"/>
      <c r="Q455" s="187"/>
      <c r="R455" s="187">
        <v>4</v>
      </c>
    </row>
    <row r="456" spans="1:18" ht="12.75">
      <c r="A456" s="428" t="s">
        <v>758</v>
      </c>
      <c r="B456" s="429"/>
      <c r="C456" s="429"/>
      <c r="D456" s="429"/>
      <c r="E456" s="429"/>
      <c r="F456" s="429"/>
      <c r="G456" s="429"/>
      <c r="H456" s="429"/>
      <c r="I456" s="429"/>
      <c r="J456" s="429"/>
      <c r="K456" s="429"/>
      <c r="L456" s="429"/>
      <c r="M456" s="429"/>
      <c r="N456" s="429"/>
      <c r="O456" s="429"/>
      <c r="P456" s="429"/>
      <c r="Q456" s="429"/>
      <c r="R456" s="429"/>
    </row>
    <row r="457" spans="1:18" ht="24">
      <c r="A457" s="177">
        <v>57.24</v>
      </c>
      <c r="B457" s="170" t="s">
        <v>759</v>
      </c>
      <c r="C457" s="178" t="s">
        <v>760</v>
      </c>
      <c r="D457" s="179">
        <v>731.57</v>
      </c>
      <c r="E457" s="179">
        <v>458.55</v>
      </c>
      <c r="F457" s="179">
        <v>14.67</v>
      </c>
      <c r="G457" s="179">
        <v>258.35000000000002</v>
      </c>
      <c r="H457" s="180">
        <v>7299.97</v>
      </c>
      <c r="I457" s="180">
        <v>5984.1</v>
      </c>
      <c r="J457" s="180">
        <v>92.73</v>
      </c>
      <c r="K457" s="180">
        <v>1223.1400000000001</v>
      </c>
      <c r="L457" s="357">
        <v>9.9784982981806252</v>
      </c>
      <c r="M457" s="357">
        <v>13.05</v>
      </c>
      <c r="N457" s="357">
        <v>6.3210633946830272</v>
      </c>
      <c r="O457" s="357">
        <v>4.7344300367718208</v>
      </c>
      <c r="P457" s="181"/>
      <c r="Q457" s="181"/>
      <c r="R457" s="181">
        <v>5</v>
      </c>
    </row>
    <row r="458" spans="1:18">
      <c r="A458" s="182">
        <v>57.25</v>
      </c>
      <c r="B458" s="183" t="s">
        <v>761</v>
      </c>
      <c r="C458" s="184" t="s">
        <v>762</v>
      </c>
      <c r="D458" s="185">
        <v>1814.51</v>
      </c>
      <c r="E458" s="185">
        <v>597.13</v>
      </c>
      <c r="F458" s="185">
        <v>50.8</v>
      </c>
      <c r="G458" s="185">
        <v>1166.58</v>
      </c>
      <c r="H458" s="186">
        <v>13641.82</v>
      </c>
      <c r="I458" s="186">
        <v>7792.63</v>
      </c>
      <c r="J458" s="186">
        <v>321.89</v>
      </c>
      <c r="K458" s="186">
        <v>5527.3</v>
      </c>
      <c r="L458" s="356">
        <v>7.5181839725325297</v>
      </c>
      <c r="M458" s="356">
        <v>13.05</v>
      </c>
      <c r="N458" s="356">
        <v>6.3364173228346461</v>
      </c>
      <c r="O458" s="356">
        <v>4.7380376827992938</v>
      </c>
      <c r="P458" s="187"/>
      <c r="Q458" s="187"/>
      <c r="R458" s="187">
        <v>5</v>
      </c>
    </row>
    <row r="459" spans="1:18" ht="12.75">
      <c r="A459" s="428" t="s">
        <v>763</v>
      </c>
      <c r="B459" s="429"/>
      <c r="C459" s="429"/>
      <c r="D459" s="429"/>
      <c r="E459" s="429"/>
      <c r="F459" s="429"/>
      <c r="G459" s="429"/>
      <c r="H459" s="429"/>
      <c r="I459" s="429"/>
      <c r="J459" s="429"/>
      <c r="K459" s="429"/>
      <c r="L459" s="429"/>
      <c r="M459" s="429"/>
      <c r="N459" s="429"/>
      <c r="O459" s="429"/>
      <c r="P459" s="429"/>
      <c r="Q459" s="429"/>
      <c r="R459" s="429"/>
    </row>
    <row r="460" spans="1:18" ht="24">
      <c r="A460" s="177">
        <v>57.26</v>
      </c>
      <c r="B460" s="170" t="s">
        <v>764</v>
      </c>
      <c r="C460" s="178" t="s">
        <v>765</v>
      </c>
      <c r="D460" s="179">
        <v>207.9</v>
      </c>
      <c r="E460" s="179">
        <v>148.77000000000001</v>
      </c>
      <c r="F460" s="179">
        <v>59.13</v>
      </c>
      <c r="G460" s="179"/>
      <c r="H460" s="180">
        <v>2319.29</v>
      </c>
      <c r="I460" s="180">
        <v>1941.51</v>
      </c>
      <c r="J460" s="180">
        <v>377.78</v>
      </c>
      <c r="K460" s="180"/>
      <c r="L460" s="357">
        <v>11.155796055796054</v>
      </c>
      <c r="M460" s="357">
        <v>13.05</v>
      </c>
      <c r="N460" s="357">
        <v>6.3889734483341778</v>
      </c>
      <c r="O460" s="357" t="s">
        <v>135</v>
      </c>
      <c r="P460" s="181"/>
      <c r="Q460" s="181"/>
      <c r="R460" s="181">
        <v>6</v>
      </c>
    </row>
    <row r="461" spans="1:18" ht="24">
      <c r="A461" s="177">
        <v>57.27</v>
      </c>
      <c r="B461" s="170" t="s">
        <v>766</v>
      </c>
      <c r="C461" s="178" t="s">
        <v>767</v>
      </c>
      <c r="D461" s="179">
        <v>138.13</v>
      </c>
      <c r="E461" s="179">
        <v>98.84</v>
      </c>
      <c r="F461" s="179">
        <v>39.29</v>
      </c>
      <c r="G461" s="179"/>
      <c r="H461" s="180">
        <v>1540.9</v>
      </c>
      <c r="I461" s="180">
        <v>1289.9100000000001</v>
      </c>
      <c r="J461" s="180">
        <v>250.99</v>
      </c>
      <c r="K461" s="180"/>
      <c r="L461" s="357">
        <v>11.155433287482808</v>
      </c>
      <c r="M461" s="357">
        <v>13.05</v>
      </c>
      <c r="N461" s="357">
        <v>6.3881394756935608</v>
      </c>
      <c r="O461" s="357" t="s">
        <v>135</v>
      </c>
      <c r="P461" s="181"/>
      <c r="Q461" s="181"/>
      <c r="R461" s="181">
        <v>6</v>
      </c>
    </row>
    <row r="462" spans="1:18">
      <c r="A462" s="177">
        <v>57.28</v>
      </c>
      <c r="B462" s="170" t="s">
        <v>768</v>
      </c>
      <c r="C462" s="178" t="s">
        <v>769</v>
      </c>
      <c r="D462" s="179">
        <v>681.69</v>
      </c>
      <c r="E462" s="179">
        <v>614.46</v>
      </c>
      <c r="F462" s="179">
        <v>67.23</v>
      </c>
      <c r="G462" s="179"/>
      <c r="H462" s="180">
        <v>8499.58</v>
      </c>
      <c r="I462" s="180">
        <v>8018.69</v>
      </c>
      <c r="J462" s="180">
        <v>480.89</v>
      </c>
      <c r="K462" s="180"/>
      <c r="L462" s="357">
        <v>12.468394724874942</v>
      </c>
      <c r="M462" s="357">
        <v>13.05</v>
      </c>
      <c r="N462" s="357">
        <v>7.1529079280083288</v>
      </c>
      <c r="O462" s="357" t="s">
        <v>135</v>
      </c>
      <c r="P462" s="181"/>
      <c r="Q462" s="181"/>
      <c r="R462" s="181">
        <v>6</v>
      </c>
    </row>
    <row r="463" spans="1:18" ht="24">
      <c r="A463" s="177">
        <v>57.29</v>
      </c>
      <c r="B463" s="170" t="s">
        <v>770</v>
      </c>
      <c r="C463" s="178" t="s">
        <v>771</v>
      </c>
      <c r="D463" s="179">
        <v>452.68</v>
      </c>
      <c r="E463" s="179">
        <v>409.64</v>
      </c>
      <c r="F463" s="179">
        <v>43.04</v>
      </c>
      <c r="G463" s="179"/>
      <c r="H463" s="180">
        <v>5653.64</v>
      </c>
      <c r="I463" s="180">
        <v>5345.8</v>
      </c>
      <c r="J463" s="180">
        <v>307.83999999999997</v>
      </c>
      <c r="K463" s="180"/>
      <c r="L463" s="357">
        <v>12.489263939206504</v>
      </c>
      <c r="M463" s="357">
        <v>13.05</v>
      </c>
      <c r="N463" s="357">
        <v>7.1524163568773229</v>
      </c>
      <c r="O463" s="357" t="s">
        <v>135</v>
      </c>
      <c r="P463" s="181"/>
      <c r="Q463" s="181"/>
      <c r="R463" s="181">
        <v>6</v>
      </c>
    </row>
    <row r="464" spans="1:18">
      <c r="A464" s="177">
        <v>57.3</v>
      </c>
      <c r="B464" s="170" t="s">
        <v>772</v>
      </c>
      <c r="C464" s="178" t="s">
        <v>773</v>
      </c>
      <c r="D464" s="179">
        <v>1833.67</v>
      </c>
      <c r="E464" s="179">
        <v>486.06</v>
      </c>
      <c r="F464" s="179">
        <v>58.33</v>
      </c>
      <c r="G464" s="179">
        <v>1289.28</v>
      </c>
      <c r="H464" s="180">
        <v>10087.58</v>
      </c>
      <c r="I464" s="180">
        <v>6343.15</v>
      </c>
      <c r="J464" s="180">
        <v>419.95</v>
      </c>
      <c r="K464" s="180">
        <v>3324.48</v>
      </c>
      <c r="L464" s="357">
        <v>5.5013061237845413</v>
      </c>
      <c r="M464" s="357">
        <v>13.05</v>
      </c>
      <c r="N464" s="357">
        <v>7.1995542602434428</v>
      </c>
      <c r="O464" s="357">
        <v>2.5785554728220403</v>
      </c>
      <c r="P464" s="181"/>
      <c r="Q464" s="181"/>
      <c r="R464" s="181">
        <v>6</v>
      </c>
    </row>
    <row r="465" spans="1:18">
      <c r="A465" s="182">
        <v>57.31</v>
      </c>
      <c r="B465" s="183" t="s">
        <v>774</v>
      </c>
      <c r="C465" s="184" t="s">
        <v>775</v>
      </c>
      <c r="D465" s="185">
        <v>2173.77</v>
      </c>
      <c r="E465" s="185">
        <v>370.92</v>
      </c>
      <c r="F465" s="185">
        <v>53.69</v>
      </c>
      <c r="G465" s="185">
        <v>1749.16</v>
      </c>
      <c r="H465" s="186">
        <v>9741.69</v>
      </c>
      <c r="I465" s="186">
        <v>4840.47</v>
      </c>
      <c r="J465" s="186">
        <v>390.94</v>
      </c>
      <c r="K465" s="186">
        <v>4510.28</v>
      </c>
      <c r="L465" s="356">
        <v>4.4814722808760816</v>
      </c>
      <c r="M465" s="356">
        <v>13.05</v>
      </c>
      <c r="N465" s="356">
        <v>7.2814304339728073</v>
      </c>
      <c r="O465" s="356">
        <v>2.5785405566100299</v>
      </c>
      <c r="P465" s="187"/>
      <c r="Q465" s="187"/>
      <c r="R465" s="187">
        <v>6</v>
      </c>
    </row>
    <row r="466" spans="1:18" ht="12.75">
      <c r="A466" s="428" t="s">
        <v>776</v>
      </c>
      <c r="B466" s="429"/>
      <c r="C466" s="429"/>
      <c r="D466" s="429"/>
      <c r="E466" s="429"/>
      <c r="F466" s="429"/>
      <c r="G466" s="429"/>
      <c r="H466" s="429"/>
      <c r="I466" s="429"/>
      <c r="J466" s="429"/>
      <c r="K466" s="429"/>
      <c r="L466" s="429"/>
      <c r="M466" s="429"/>
      <c r="N466" s="429"/>
      <c r="O466" s="429"/>
      <c r="P466" s="429"/>
      <c r="Q466" s="429"/>
      <c r="R466" s="429"/>
    </row>
    <row r="467" spans="1:18" ht="24">
      <c r="A467" s="177">
        <v>57.32</v>
      </c>
      <c r="B467" s="170" t="s">
        <v>777</v>
      </c>
      <c r="C467" s="178" t="s">
        <v>778</v>
      </c>
      <c r="D467" s="179">
        <v>1784.68</v>
      </c>
      <c r="E467" s="179">
        <v>361.1</v>
      </c>
      <c r="F467" s="179">
        <v>5.98</v>
      </c>
      <c r="G467" s="179">
        <v>1417.6</v>
      </c>
      <c r="H467" s="180">
        <v>9999.31</v>
      </c>
      <c r="I467" s="180">
        <v>4712.45</v>
      </c>
      <c r="J467" s="180">
        <v>32.090000000000003</v>
      </c>
      <c r="K467" s="180">
        <v>5254.77</v>
      </c>
      <c r="L467" s="357">
        <v>5.6028587758029449</v>
      </c>
      <c r="M467" s="357">
        <v>13.05</v>
      </c>
      <c r="N467" s="357">
        <v>5.3662207357859533</v>
      </c>
      <c r="O467" s="357">
        <v>3.7068072799097069</v>
      </c>
      <c r="P467" s="181"/>
      <c r="Q467" s="181"/>
      <c r="R467" s="181">
        <v>7</v>
      </c>
    </row>
    <row r="468" spans="1:18" ht="24">
      <c r="A468" s="177">
        <v>57.33</v>
      </c>
      <c r="B468" s="170" t="s">
        <v>779</v>
      </c>
      <c r="C468" s="178" t="s">
        <v>780</v>
      </c>
      <c r="D468" s="179">
        <v>10730.25</v>
      </c>
      <c r="E468" s="179">
        <v>1181.23</v>
      </c>
      <c r="F468" s="179">
        <v>25.74</v>
      </c>
      <c r="G468" s="179">
        <v>9523.2800000000007</v>
      </c>
      <c r="H468" s="180">
        <v>51000.22</v>
      </c>
      <c r="I468" s="180">
        <v>15415.47</v>
      </c>
      <c r="J468" s="180">
        <v>142.26</v>
      </c>
      <c r="K468" s="180">
        <v>35442.49</v>
      </c>
      <c r="L468" s="357">
        <v>4.7529386547377745</v>
      </c>
      <c r="M468" s="357">
        <v>13.05</v>
      </c>
      <c r="N468" s="357">
        <v>5.526806526806527</v>
      </c>
      <c r="O468" s="357">
        <v>3.7216683747616361</v>
      </c>
      <c r="P468" s="181"/>
      <c r="Q468" s="181"/>
      <c r="R468" s="181">
        <v>7</v>
      </c>
    </row>
    <row r="469" spans="1:18" ht="24">
      <c r="A469" s="177">
        <v>57.34</v>
      </c>
      <c r="B469" s="170" t="s">
        <v>781</v>
      </c>
      <c r="C469" s="178" t="s">
        <v>782</v>
      </c>
      <c r="D469" s="179">
        <v>21019.4</v>
      </c>
      <c r="E469" s="179">
        <v>1818.28</v>
      </c>
      <c r="F469" s="179">
        <v>52.58</v>
      </c>
      <c r="G469" s="179">
        <v>19148.54</v>
      </c>
      <c r="H469" s="180">
        <v>95315.79</v>
      </c>
      <c r="I469" s="180">
        <v>23729.27</v>
      </c>
      <c r="J469" s="180">
        <v>292.85000000000002</v>
      </c>
      <c r="K469" s="180">
        <v>71293.67</v>
      </c>
      <c r="L469" s="357">
        <v>4.534657982625574</v>
      </c>
      <c r="M469" s="357">
        <v>13.05</v>
      </c>
      <c r="N469" s="357">
        <v>5.5696082160517317</v>
      </c>
      <c r="O469" s="357">
        <v>3.7231909064607533</v>
      </c>
      <c r="P469" s="181"/>
      <c r="Q469" s="181"/>
      <c r="R469" s="181">
        <v>7</v>
      </c>
    </row>
    <row r="470" spans="1:18" ht="24">
      <c r="A470" s="177">
        <v>57.35</v>
      </c>
      <c r="B470" s="170" t="s">
        <v>783</v>
      </c>
      <c r="C470" s="178" t="s">
        <v>784</v>
      </c>
      <c r="D470" s="179">
        <v>1941.73</v>
      </c>
      <c r="E470" s="179">
        <v>362.85</v>
      </c>
      <c r="F470" s="179">
        <v>11.22</v>
      </c>
      <c r="G470" s="179">
        <v>1567.66</v>
      </c>
      <c r="H470" s="180">
        <v>11280.84</v>
      </c>
      <c r="I470" s="180">
        <v>4735.3500000000004</v>
      </c>
      <c r="J470" s="180">
        <v>58.63</v>
      </c>
      <c r="K470" s="180">
        <v>6486.86</v>
      </c>
      <c r="L470" s="357">
        <v>5.8096851776508576</v>
      </c>
      <c r="M470" s="357">
        <v>13.05</v>
      </c>
      <c r="N470" s="357">
        <v>5.2254901960784315</v>
      </c>
      <c r="O470" s="357">
        <v>4.137925315438296</v>
      </c>
      <c r="P470" s="181"/>
      <c r="Q470" s="181"/>
      <c r="R470" s="181">
        <v>7</v>
      </c>
    </row>
    <row r="471" spans="1:18" ht="24">
      <c r="A471" s="177">
        <v>57.36</v>
      </c>
      <c r="B471" s="170" t="s">
        <v>785</v>
      </c>
      <c r="C471" s="178" t="s">
        <v>786</v>
      </c>
      <c r="D471" s="179">
        <v>12049.67</v>
      </c>
      <c r="E471" s="179">
        <v>1130.97</v>
      </c>
      <c r="F471" s="179">
        <v>49.65</v>
      </c>
      <c r="G471" s="179">
        <v>10869.05</v>
      </c>
      <c r="H471" s="180">
        <v>61542.45</v>
      </c>
      <c r="I471" s="180">
        <v>14759.58</v>
      </c>
      <c r="J471" s="180">
        <v>270.62</v>
      </c>
      <c r="K471" s="180">
        <v>46512.25</v>
      </c>
      <c r="L471" s="357">
        <v>5.107397132037641</v>
      </c>
      <c r="M471" s="357">
        <v>13.05</v>
      </c>
      <c r="N471" s="357">
        <v>5.4505538771399804</v>
      </c>
      <c r="O471" s="357">
        <v>4.2793298402344275</v>
      </c>
      <c r="P471" s="181"/>
      <c r="Q471" s="181"/>
      <c r="R471" s="181">
        <v>7</v>
      </c>
    </row>
    <row r="472" spans="1:18" ht="24">
      <c r="A472" s="182">
        <v>57.37</v>
      </c>
      <c r="B472" s="183" t="s">
        <v>787</v>
      </c>
      <c r="C472" s="184" t="s">
        <v>788</v>
      </c>
      <c r="D472" s="185">
        <v>23758.32</v>
      </c>
      <c r="E472" s="185">
        <v>1828.6</v>
      </c>
      <c r="F472" s="185">
        <v>99.3</v>
      </c>
      <c r="G472" s="185">
        <v>21830.42</v>
      </c>
      <c r="H472" s="186">
        <v>117769.77</v>
      </c>
      <c r="I472" s="186">
        <v>23863.95</v>
      </c>
      <c r="J472" s="186">
        <v>541.24</v>
      </c>
      <c r="K472" s="186">
        <v>93364.58</v>
      </c>
      <c r="L472" s="356">
        <v>4.9569906458032387</v>
      </c>
      <c r="M472" s="356">
        <v>13.05</v>
      </c>
      <c r="N472" s="356">
        <v>5.4505538771399804</v>
      </c>
      <c r="O472" s="356">
        <v>4.2768109821066203</v>
      </c>
      <c r="P472" s="187"/>
      <c r="Q472" s="187"/>
      <c r="R472" s="187">
        <v>7</v>
      </c>
    </row>
    <row r="473" spans="1:18" ht="12.75">
      <c r="A473" s="428" t="s">
        <v>789</v>
      </c>
      <c r="B473" s="429"/>
      <c r="C473" s="429"/>
      <c r="D473" s="429"/>
      <c r="E473" s="429"/>
      <c r="F473" s="429"/>
      <c r="G473" s="429"/>
      <c r="H473" s="429"/>
      <c r="I473" s="429"/>
      <c r="J473" s="429"/>
      <c r="K473" s="429"/>
      <c r="L473" s="429"/>
      <c r="M473" s="429"/>
      <c r="N473" s="429"/>
      <c r="O473" s="429"/>
      <c r="P473" s="429"/>
      <c r="Q473" s="429"/>
      <c r="R473" s="429"/>
    </row>
    <row r="474" spans="1:18" ht="24">
      <c r="A474" s="177">
        <v>57.38</v>
      </c>
      <c r="B474" s="170" t="s">
        <v>790</v>
      </c>
      <c r="C474" s="178" t="s">
        <v>791</v>
      </c>
      <c r="D474" s="179">
        <v>1427.87</v>
      </c>
      <c r="E474" s="179">
        <v>411.71</v>
      </c>
      <c r="F474" s="179">
        <v>13.05</v>
      </c>
      <c r="G474" s="179">
        <v>1003.11</v>
      </c>
      <c r="H474" s="180">
        <v>9248.15</v>
      </c>
      <c r="I474" s="180">
        <v>5372.68</v>
      </c>
      <c r="J474" s="180">
        <v>72.52</v>
      </c>
      <c r="K474" s="180">
        <v>3802.95</v>
      </c>
      <c r="L474" s="357">
        <v>6.4768851506089495</v>
      </c>
      <c r="M474" s="357">
        <v>13.05</v>
      </c>
      <c r="N474" s="357">
        <v>5.5570881226053634</v>
      </c>
      <c r="O474" s="357">
        <v>3.7911594939737414</v>
      </c>
      <c r="P474" s="181"/>
      <c r="Q474" s="181"/>
      <c r="R474" s="181">
        <v>8</v>
      </c>
    </row>
    <row r="475" spans="1:18" ht="24">
      <c r="A475" s="177">
        <v>57.39</v>
      </c>
      <c r="B475" s="170" t="s">
        <v>792</v>
      </c>
      <c r="C475" s="178" t="s">
        <v>793</v>
      </c>
      <c r="D475" s="179">
        <v>2849.08</v>
      </c>
      <c r="E475" s="179">
        <v>431.42</v>
      </c>
      <c r="F475" s="179">
        <v>38.43</v>
      </c>
      <c r="G475" s="179">
        <v>2379.23</v>
      </c>
      <c r="H475" s="180">
        <v>14640.58</v>
      </c>
      <c r="I475" s="180">
        <v>5629.84</v>
      </c>
      <c r="J475" s="180">
        <v>212</v>
      </c>
      <c r="K475" s="180">
        <v>8798.74</v>
      </c>
      <c r="L475" s="357">
        <v>5.1387044238842012</v>
      </c>
      <c r="M475" s="357">
        <v>13.05</v>
      </c>
      <c r="N475" s="357">
        <v>5.5165235493104348</v>
      </c>
      <c r="O475" s="357">
        <v>3.6981460388445</v>
      </c>
      <c r="P475" s="181"/>
      <c r="Q475" s="181"/>
      <c r="R475" s="181">
        <v>8</v>
      </c>
    </row>
    <row r="476" spans="1:18" ht="24">
      <c r="A476" s="182">
        <v>57.4</v>
      </c>
      <c r="B476" s="183" t="s">
        <v>794</v>
      </c>
      <c r="C476" s="184" t="s">
        <v>795</v>
      </c>
      <c r="D476" s="185">
        <v>6372.16</v>
      </c>
      <c r="E476" s="185">
        <v>599.6</v>
      </c>
      <c r="F476" s="185">
        <v>90.64</v>
      </c>
      <c r="G476" s="185">
        <v>5681.92</v>
      </c>
      <c r="H476" s="186">
        <v>29115.23</v>
      </c>
      <c r="I476" s="186">
        <v>7824.54</v>
      </c>
      <c r="J476" s="186">
        <v>502.07</v>
      </c>
      <c r="K476" s="186">
        <v>20788.62</v>
      </c>
      <c r="L476" s="356">
        <v>4.5691304047607089</v>
      </c>
      <c r="M476" s="356">
        <v>13.05</v>
      </c>
      <c r="N476" s="356">
        <v>5.539165931156222</v>
      </c>
      <c r="O476" s="356">
        <v>3.6587315555305246</v>
      </c>
      <c r="P476" s="187"/>
      <c r="Q476" s="187"/>
      <c r="R476" s="187">
        <v>8</v>
      </c>
    </row>
    <row r="477" spans="1:18" ht="12.75">
      <c r="A477" s="428" t="s">
        <v>796</v>
      </c>
      <c r="B477" s="429"/>
      <c r="C477" s="429"/>
      <c r="D477" s="429"/>
      <c r="E477" s="429"/>
      <c r="F477" s="429"/>
      <c r="G477" s="429"/>
      <c r="H477" s="429"/>
      <c r="I477" s="429"/>
      <c r="J477" s="429"/>
      <c r="K477" s="429"/>
      <c r="L477" s="429"/>
      <c r="M477" s="429"/>
      <c r="N477" s="429"/>
      <c r="O477" s="429"/>
      <c r="P477" s="429"/>
      <c r="Q477" s="429"/>
      <c r="R477" s="429"/>
    </row>
    <row r="478" spans="1:18" ht="24">
      <c r="A478" s="177">
        <v>57.41</v>
      </c>
      <c r="B478" s="170" t="s">
        <v>797</v>
      </c>
      <c r="C478" s="178" t="s">
        <v>798</v>
      </c>
      <c r="D478" s="179">
        <v>680.69</v>
      </c>
      <c r="E478" s="179">
        <v>47.82</v>
      </c>
      <c r="F478" s="179">
        <v>14.15</v>
      </c>
      <c r="G478" s="179">
        <v>618.72</v>
      </c>
      <c r="H478" s="180">
        <v>3071.26</v>
      </c>
      <c r="I478" s="180">
        <v>624.08000000000004</v>
      </c>
      <c r="J478" s="180">
        <v>80.86</v>
      </c>
      <c r="K478" s="180">
        <v>2366.3200000000002</v>
      </c>
      <c r="L478" s="357">
        <v>4.5119804903847562</v>
      </c>
      <c r="M478" s="357">
        <v>13.05</v>
      </c>
      <c r="N478" s="357">
        <v>5.7144876325088338</v>
      </c>
      <c r="O478" s="357">
        <v>3.8245409878458756</v>
      </c>
      <c r="P478" s="181"/>
      <c r="Q478" s="181"/>
      <c r="R478" s="181">
        <v>9</v>
      </c>
    </row>
    <row r="479" spans="1:18" ht="24">
      <c r="A479" s="182">
        <v>57.42</v>
      </c>
      <c r="B479" s="183" t="s">
        <v>799</v>
      </c>
      <c r="C479" s="184" t="s">
        <v>800</v>
      </c>
      <c r="D479" s="185">
        <v>1501.88</v>
      </c>
      <c r="E479" s="185">
        <v>95.54</v>
      </c>
      <c r="F479" s="185">
        <v>14.15</v>
      </c>
      <c r="G479" s="185">
        <v>1392.19</v>
      </c>
      <c r="H479" s="186">
        <v>6652.45</v>
      </c>
      <c r="I479" s="186">
        <v>1246.77</v>
      </c>
      <c r="J479" s="186">
        <v>80.86</v>
      </c>
      <c r="K479" s="186">
        <v>5324.82</v>
      </c>
      <c r="L479" s="356">
        <v>4.429415133033265</v>
      </c>
      <c r="M479" s="356">
        <v>13.05</v>
      </c>
      <c r="N479" s="356">
        <v>5.7144876325088338</v>
      </c>
      <c r="O479" s="356">
        <v>3.8247796636953284</v>
      </c>
      <c r="P479" s="187"/>
      <c r="Q479" s="187"/>
      <c r="R479" s="187">
        <v>9</v>
      </c>
    </row>
    <row r="480" spans="1:18" ht="12.75">
      <c r="A480" s="428" t="s">
        <v>801</v>
      </c>
      <c r="B480" s="429"/>
      <c r="C480" s="429"/>
      <c r="D480" s="429"/>
      <c r="E480" s="429"/>
      <c r="F480" s="429"/>
      <c r="G480" s="429"/>
      <c r="H480" s="429"/>
      <c r="I480" s="429"/>
      <c r="J480" s="429"/>
      <c r="K480" s="429"/>
      <c r="L480" s="429"/>
      <c r="M480" s="429"/>
      <c r="N480" s="429"/>
      <c r="O480" s="429"/>
      <c r="P480" s="429"/>
      <c r="Q480" s="429"/>
      <c r="R480" s="429"/>
    </row>
    <row r="481" spans="1:18" ht="24">
      <c r="A481" s="177">
        <v>57.43</v>
      </c>
      <c r="B481" s="170" t="s">
        <v>802</v>
      </c>
      <c r="C481" s="178" t="s">
        <v>803</v>
      </c>
      <c r="D481" s="179">
        <v>702.48</v>
      </c>
      <c r="E481" s="179">
        <v>415.04</v>
      </c>
      <c r="F481" s="179">
        <v>32.729999999999997</v>
      </c>
      <c r="G481" s="179">
        <v>254.71</v>
      </c>
      <c r="H481" s="180">
        <v>7344.25</v>
      </c>
      <c r="I481" s="180">
        <v>5416.28</v>
      </c>
      <c r="J481" s="180">
        <v>259.61</v>
      </c>
      <c r="K481" s="180">
        <v>1668.36</v>
      </c>
      <c r="L481" s="357">
        <v>10.45474604259196</v>
      </c>
      <c r="M481" s="357">
        <v>13.05</v>
      </c>
      <c r="N481" s="357">
        <v>7.9318667888787058</v>
      </c>
      <c r="O481" s="357">
        <v>6.5500372973185188</v>
      </c>
      <c r="P481" s="181"/>
      <c r="Q481" s="181"/>
      <c r="R481" s="181">
        <v>10</v>
      </c>
    </row>
    <row r="482" spans="1:18" ht="24">
      <c r="A482" s="177">
        <v>57.44</v>
      </c>
      <c r="B482" s="170" t="s">
        <v>804</v>
      </c>
      <c r="C482" s="178" t="s">
        <v>805</v>
      </c>
      <c r="D482" s="179">
        <v>1366.9</v>
      </c>
      <c r="E482" s="179">
        <v>706.68</v>
      </c>
      <c r="F482" s="179">
        <v>69.56</v>
      </c>
      <c r="G482" s="179">
        <v>590.66</v>
      </c>
      <c r="H482" s="180">
        <v>13642.06</v>
      </c>
      <c r="I482" s="180">
        <v>9222.16</v>
      </c>
      <c r="J482" s="180">
        <v>551.65</v>
      </c>
      <c r="K482" s="180">
        <v>3868.25</v>
      </c>
      <c r="L482" s="357">
        <v>9.9802911698002763</v>
      </c>
      <c r="M482" s="357">
        <v>13.05</v>
      </c>
      <c r="N482" s="357">
        <v>7.9305635422656691</v>
      </c>
      <c r="O482" s="357">
        <v>6.5490298987573228</v>
      </c>
      <c r="P482" s="181"/>
      <c r="Q482" s="181"/>
      <c r="R482" s="181">
        <v>10</v>
      </c>
    </row>
    <row r="483" spans="1:18" ht="24">
      <c r="A483" s="177">
        <v>57.45</v>
      </c>
      <c r="B483" s="170" t="s">
        <v>806</v>
      </c>
      <c r="C483" s="178" t="s">
        <v>807</v>
      </c>
      <c r="D483" s="179">
        <v>2671.95</v>
      </c>
      <c r="E483" s="179">
        <v>1265.9000000000001</v>
      </c>
      <c r="F483" s="179">
        <v>141.16</v>
      </c>
      <c r="G483" s="179">
        <v>1264.8900000000001</v>
      </c>
      <c r="H483" s="180">
        <v>25923.54</v>
      </c>
      <c r="I483" s="180">
        <v>16520.11</v>
      </c>
      <c r="J483" s="180">
        <v>1119.54</v>
      </c>
      <c r="K483" s="180">
        <v>8283.89</v>
      </c>
      <c r="L483" s="357">
        <v>9.7021052040644484</v>
      </c>
      <c r="M483" s="357">
        <v>13.05</v>
      </c>
      <c r="N483" s="357">
        <v>7.9310002833663926</v>
      </c>
      <c r="O483" s="357">
        <v>6.5490991311497435</v>
      </c>
      <c r="P483" s="181"/>
      <c r="Q483" s="181"/>
      <c r="R483" s="181">
        <v>10</v>
      </c>
    </row>
    <row r="484" spans="1:18" ht="24">
      <c r="A484" s="177">
        <v>57.46</v>
      </c>
      <c r="B484" s="170" t="s">
        <v>808</v>
      </c>
      <c r="C484" s="178" t="s">
        <v>809</v>
      </c>
      <c r="D484" s="179">
        <v>1605.98</v>
      </c>
      <c r="E484" s="179">
        <v>1100.83</v>
      </c>
      <c r="F484" s="179">
        <v>52.17</v>
      </c>
      <c r="G484" s="179">
        <v>452.98</v>
      </c>
      <c r="H484" s="180">
        <v>17662.32</v>
      </c>
      <c r="I484" s="180">
        <v>14365.83</v>
      </c>
      <c r="J484" s="180">
        <v>413.74</v>
      </c>
      <c r="K484" s="180">
        <v>2882.75</v>
      </c>
      <c r="L484" s="357">
        <v>10.997845552248471</v>
      </c>
      <c r="M484" s="357">
        <v>13.05</v>
      </c>
      <c r="N484" s="357">
        <v>7.9306114625263557</v>
      </c>
      <c r="O484" s="357">
        <v>6.3639675040840649</v>
      </c>
      <c r="P484" s="181"/>
      <c r="Q484" s="181"/>
      <c r="R484" s="181">
        <v>10</v>
      </c>
    </row>
    <row r="485" spans="1:18" ht="24">
      <c r="A485" s="177">
        <v>57.47</v>
      </c>
      <c r="B485" s="170" t="s">
        <v>810</v>
      </c>
      <c r="C485" s="178" t="s">
        <v>811</v>
      </c>
      <c r="D485" s="179">
        <v>3052.2</v>
      </c>
      <c r="E485" s="179">
        <v>1879.44</v>
      </c>
      <c r="F485" s="179">
        <v>125.82</v>
      </c>
      <c r="G485" s="179">
        <v>1046.94</v>
      </c>
      <c r="H485" s="180">
        <v>32186.04</v>
      </c>
      <c r="I485" s="180">
        <v>24526.83</v>
      </c>
      <c r="J485" s="180">
        <v>997.85</v>
      </c>
      <c r="K485" s="180">
        <v>6661.36</v>
      </c>
      <c r="L485" s="357">
        <v>10.545193630823668</v>
      </c>
      <c r="M485" s="357">
        <v>13.05</v>
      </c>
      <c r="N485" s="357">
        <v>7.9307741217612469</v>
      </c>
      <c r="O485" s="357">
        <v>6.3626950923644134</v>
      </c>
      <c r="P485" s="181"/>
      <c r="Q485" s="181"/>
      <c r="R485" s="181">
        <v>10</v>
      </c>
    </row>
    <row r="486" spans="1:18" ht="24">
      <c r="A486" s="177">
        <v>57.48</v>
      </c>
      <c r="B486" s="170" t="s">
        <v>812</v>
      </c>
      <c r="C486" s="178" t="s">
        <v>813</v>
      </c>
      <c r="D486" s="179">
        <v>6297.75</v>
      </c>
      <c r="E486" s="179">
        <v>3792.51</v>
      </c>
      <c r="F486" s="179">
        <v>258.79000000000002</v>
      </c>
      <c r="G486" s="179">
        <v>2246.4499999999998</v>
      </c>
      <c r="H486" s="180">
        <v>65839.33</v>
      </c>
      <c r="I486" s="180">
        <v>49492.5</v>
      </c>
      <c r="J486" s="180">
        <v>2052.48</v>
      </c>
      <c r="K486" s="180">
        <v>14294.35</v>
      </c>
      <c r="L486" s="357">
        <v>10.454421023381366</v>
      </c>
      <c r="M486" s="357">
        <v>13.05</v>
      </c>
      <c r="N486" s="357">
        <v>7.9310637969009612</v>
      </c>
      <c r="O486" s="357">
        <v>6.3630839769413967</v>
      </c>
      <c r="P486" s="181"/>
      <c r="Q486" s="181"/>
      <c r="R486" s="181">
        <v>10</v>
      </c>
    </row>
    <row r="487" spans="1:18" ht="24">
      <c r="A487" s="177">
        <v>57.49</v>
      </c>
      <c r="B487" s="170" t="s">
        <v>814</v>
      </c>
      <c r="C487" s="178" t="s">
        <v>815</v>
      </c>
      <c r="D487" s="179">
        <v>786.64</v>
      </c>
      <c r="E487" s="179">
        <v>282.8</v>
      </c>
      <c r="F487" s="179">
        <v>16.37</v>
      </c>
      <c r="G487" s="179">
        <v>487.47</v>
      </c>
      <c r="H487" s="180">
        <v>6343.1</v>
      </c>
      <c r="I487" s="180">
        <v>3690.5</v>
      </c>
      <c r="J487" s="180">
        <v>129.80000000000001</v>
      </c>
      <c r="K487" s="180">
        <v>2522.8000000000002</v>
      </c>
      <c r="L487" s="357">
        <v>8.063536052069562</v>
      </c>
      <c r="M487" s="357">
        <v>13.05</v>
      </c>
      <c r="N487" s="357">
        <v>7.9291386682956633</v>
      </c>
      <c r="O487" s="357">
        <v>5.1752928385336538</v>
      </c>
      <c r="P487" s="181"/>
      <c r="Q487" s="181"/>
      <c r="R487" s="181">
        <v>10</v>
      </c>
    </row>
    <row r="488" spans="1:18" ht="24">
      <c r="A488" s="177">
        <v>57.5</v>
      </c>
      <c r="B488" s="170" t="s">
        <v>816</v>
      </c>
      <c r="C488" s="178" t="s">
        <v>817</v>
      </c>
      <c r="D488" s="179">
        <v>1676.49</v>
      </c>
      <c r="E488" s="179">
        <v>503.91</v>
      </c>
      <c r="F488" s="179">
        <v>38.869999999999997</v>
      </c>
      <c r="G488" s="179">
        <v>1133.71</v>
      </c>
      <c r="H488" s="180">
        <v>12751.58</v>
      </c>
      <c r="I488" s="180">
        <v>6575.88</v>
      </c>
      <c r="J488" s="180">
        <v>308.27999999999997</v>
      </c>
      <c r="K488" s="180">
        <v>5867.42</v>
      </c>
      <c r="L488" s="357">
        <v>7.6061175432003765</v>
      </c>
      <c r="M488" s="357">
        <v>13.05</v>
      </c>
      <c r="N488" s="357">
        <v>7.9310522253666065</v>
      </c>
      <c r="O488" s="357">
        <v>5.1754152296442655</v>
      </c>
      <c r="P488" s="181"/>
      <c r="Q488" s="181"/>
      <c r="R488" s="181">
        <v>10</v>
      </c>
    </row>
    <row r="489" spans="1:18" ht="24">
      <c r="A489" s="177">
        <v>57.51</v>
      </c>
      <c r="B489" s="170" t="s">
        <v>818</v>
      </c>
      <c r="C489" s="178" t="s">
        <v>819</v>
      </c>
      <c r="D489" s="179">
        <v>3367.28</v>
      </c>
      <c r="E489" s="179">
        <v>890.03</v>
      </c>
      <c r="F489" s="179">
        <v>85.92</v>
      </c>
      <c r="G489" s="179">
        <v>2391.33</v>
      </c>
      <c r="H489" s="180">
        <v>24876.15</v>
      </c>
      <c r="I489" s="180">
        <v>11614.68</v>
      </c>
      <c r="J489" s="180">
        <v>681.46</v>
      </c>
      <c r="K489" s="180">
        <v>12580.01</v>
      </c>
      <c r="L489" s="357">
        <v>7.3876095839965785</v>
      </c>
      <c r="M489" s="357">
        <v>13.05</v>
      </c>
      <c r="N489" s="357">
        <v>7.9313314711359411</v>
      </c>
      <c r="O489" s="357">
        <v>5.2606750218497655</v>
      </c>
      <c r="P489" s="181"/>
      <c r="Q489" s="181"/>
      <c r="R489" s="181">
        <v>10</v>
      </c>
    </row>
    <row r="490" spans="1:18" ht="24">
      <c r="A490" s="177">
        <v>57.52</v>
      </c>
      <c r="B490" s="170" t="s">
        <v>820</v>
      </c>
      <c r="C490" s="178" t="s">
        <v>821</v>
      </c>
      <c r="D490" s="179">
        <v>1358.72</v>
      </c>
      <c r="E490" s="179">
        <v>562.42999999999995</v>
      </c>
      <c r="F490" s="179">
        <v>30.41</v>
      </c>
      <c r="G490" s="179">
        <v>765.88</v>
      </c>
      <c r="H490" s="180">
        <v>13339.5</v>
      </c>
      <c r="I490" s="180">
        <v>7339.8</v>
      </c>
      <c r="J490" s="180">
        <v>290.44</v>
      </c>
      <c r="K490" s="180">
        <v>5709.26</v>
      </c>
      <c r="L490" s="357">
        <v>9.8176960668864819</v>
      </c>
      <c r="M490" s="357">
        <v>13.05</v>
      </c>
      <c r="N490" s="357">
        <v>9.5508056560341998</v>
      </c>
      <c r="O490" s="357">
        <v>7.4545098448843161</v>
      </c>
      <c r="P490" s="181"/>
      <c r="Q490" s="181"/>
      <c r="R490" s="181">
        <v>10</v>
      </c>
    </row>
    <row r="491" spans="1:18" ht="24">
      <c r="A491" s="177">
        <v>57.53</v>
      </c>
      <c r="B491" s="170" t="s">
        <v>822</v>
      </c>
      <c r="C491" s="178" t="s">
        <v>823</v>
      </c>
      <c r="D491" s="179">
        <v>3114.04</v>
      </c>
      <c r="E491" s="179">
        <v>1180.73</v>
      </c>
      <c r="F491" s="179">
        <v>79.819999999999993</v>
      </c>
      <c r="G491" s="179">
        <v>1853.49</v>
      </c>
      <c r="H491" s="180">
        <v>29589.38</v>
      </c>
      <c r="I491" s="180">
        <v>15408.61</v>
      </c>
      <c r="J491" s="180">
        <v>753.19</v>
      </c>
      <c r="K491" s="180">
        <v>13427.58</v>
      </c>
      <c r="L491" s="357">
        <v>9.5019267575239894</v>
      </c>
      <c r="M491" s="357">
        <v>13.05</v>
      </c>
      <c r="N491" s="357">
        <v>9.4361062390378372</v>
      </c>
      <c r="O491" s="357">
        <v>7.2444847288088958</v>
      </c>
      <c r="P491" s="181"/>
      <c r="Q491" s="181"/>
      <c r="R491" s="181">
        <v>10</v>
      </c>
    </row>
    <row r="492" spans="1:18" ht="24">
      <c r="A492" s="182">
        <v>57.54</v>
      </c>
      <c r="B492" s="183" t="s">
        <v>824</v>
      </c>
      <c r="C492" s="184" t="s">
        <v>825</v>
      </c>
      <c r="D492" s="185">
        <v>5343.14</v>
      </c>
      <c r="E492" s="185">
        <v>1447.34</v>
      </c>
      <c r="F492" s="185">
        <v>165.2</v>
      </c>
      <c r="G492" s="185">
        <v>3730.6</v>
      </c>
      <c r="H492" s="186">
        <v>47679.43</v>
      </c>
      <c r="I492" s="186">
        <v>18887.98</v>
      </c>
      <c r="J492" s="186">
        <v>1555.97</v>
      </c>
      <c r="K492" s="186">
        <v>27235.48</v>
      </c>
      <c r="L492" s="356">
        <v>8.9234850668333596</v>
      </c>
      <c r="M492" s="356">
        <v>13.05</v>
      </c>
      <c r="N492" s="356">
        <v>9.4187046004842632</v>
      </c>
      <c r="O492" s="356">
        <v>7.3005629121320972</v>
      </c>
      <c r="P492" s="187"/>
      <c r="Q492" s="187"/>
      <c r="R492" s="187">
        <v>10</v>
      </c>
    </row>
    <row r="493" spans="1:18" ht="12.75">
      <c r="A493" s="428" t="s">
        <v>826</v>
      </c>
      <c r="B493" s="429"/>
      <c r="C493" s="429"/>
      <c r="D493" s="429"/>
      <c r="E493" s="429"/>
      <c r="F493" s="429"/>
      <c r="G493" s="429"/>
      <c r="H493" s="429"/>
      <c r="I493" s="429"/>
      <c r="J493" s="429"/>
      <c r="K493" s="429"/>
      <c r="L493" s="429"/>
      <c r="M493" s="429"/>
      <c r="N493" s="429"/>
      <c r="O493" s="429"/>
      <c r="P493" s="429"/>
      <c r="Q493" s="429"/>
      <c r="R493" s="429"/>
    </row>
    <row r="494" spans="1:18" ht="36">
      <c r="A494" s="177">
        <v>57.55</v>
      </c>
      <c r="B494" s="170" t="s">
        <v>827</v>
      </c>
      <c r="C494" s="178" t="s">
        <v>828</v>
      </c>
      <c r="D494" s="179">
        <v>3069.11</v>
      </c>
      <c r="E494" s="179">
        <v>249.37</v>
      </c>
      <c r="F494" s="179">
        <v>24.94</v>
      </c>
      <c r="G494" s="179">
        <v>2794.8</v>
      </c>
      <c r="H494" s="180">
        <v>12020.43</v>
      </c>
      <c r="I494" s="180">
        <v>3254.27</v>
      </c>
      <c r="J494" s="180">
        <v>152.1</v>
      </c>
      <c r="K494" s="180">
        <v>8614.06</v>
      </c>
      <c r="L494" s="357">
        <v>3.9165849383045899</v>
      </c>
      <c r="M494" s="357">
        <v>13.05</v>
      </c>
      <c r="N494" s="357">
        <v>6.0986367281475538</v>
      </c>
      <c r="O494" s="357">
        <v>3.0821740374982105</v>
      </c>
      <c r="P494" s="181"/>
      <c r="Q494" s="181"/>
      <c r="R494" s="181">
        <v>11</v>
      </c>
    </row>
    <row r="495" spans="1:18" ht="36">
      <c r="A495" s="177">
        <v>57.56</v>
      </c>
      <c r="B495" s="170" t="s">
        <v>829</v>
      </c>
      <c r="C495" s="178" t="s">
        <v>830</v>
      </c>
      <c r="D495" s="179">
        <v>3036.63</v>
      </c>
      <c r="E495" s="179">
        <v>216.89</v>
      </c>
      <c r="F495" s="179">
        <v>24.94</v>
      </c>
      <c r="G495" s="179">
        <v>2794.8</v>
      </c>
      <c r="H495" s="180">
        <v>11596.61</v>
      </c>
      <c r="I495" s="180">
        <v>2830.45</v>
      </c>
      <c r="J495" s="180">
        <v>152.1</v>
      </c>
      <c r="K495" s="180">
        <v>8614.06</v>
      </c>
      <c r="L495" s="357">
        <v>3.8189078023993703</v>
      </c>
      <c r="M495" s="357">
        <v>13.05</v>
      </c>
      <c r="N495" s="357">
        <v>6.0986367281475538</v>
      </c>
      <c r="O495" s="357">
        <v>3.0821740374982105</v>
      </c>
      <c r="P495" s="181"/>
      <c r="Q495" s="181"/>
      <c r="R495" s="181">
        <v>11</v>
      </c>
    </row>
    <row r="496" spans="1:18" ht="36">
      <c r="A496" s="177">
        <v>57.57</v>
      </c>
      <c r="B496" s="170" t="s">
        <v>831</v>
      </c>
      <c r="C496" s="178" t="s">
        <v>832</v>
      </c>
      <c r="D496" s="179">
        <v>3000.46</v>
      </c>
      <c r="E496" s="179">
        <v>298.27</v>
      </c>
      <c r="F496" s="179">
        <v>17.350000000000001</v>
      </c>
      <c r="G496" s="179">
        <v>2684.84</v>
      </c>
      <c r="H496" s="180">
        <v>18783.66</v>
      </c>
      <c r="I496" s="180">
        <v>3892.43</v>
      </c>
      <c r="J496" s="180">
        <v>99.81</v>
      </c>
      <c r="K496" s="180">
        <v>14791.42</v>
      </c>
      <c r="L496" s="357">
        <v>6.2602600934523371</v>
      </c>
      <c r="M496" s="357">
        <v>13.05</v>
      </c>
      <c r="N496" s="357">
        <v>5.7527377521613827</v>
      </c>
      <c r="O496" s="357">
        <v>5.5092370495076057</v>
      </c>
      <c r="P496" s="181"/>
      <c r="Q496" s="181"/>
      <c r="R496" s="181">
        <v>11</v>
      </c>
    </row>
    <row r="497" spans="1:18" ht="36">
      <c r="A497" s="177">
        <v>57.58</v>
      </c>
      <c r="B497" s="170" t="s">
        <v>833</v>
      </c>
      <c r="C497" s="178" t="s">
        <v>834</v>
      </c>
      <c r="D497" s="179">
        <v>2956.34</v>
      </c>
      <c r="E497" s="179">
        <v>254.15</v>
      </c>
      <c r="F497" s="179">
        <v>17.350000000000001</v>
      </c>
      <c r="G497" s="179">
        <v>2684.84</v>
      </c>
      <c r="H497" s="180">
        <v>18207.939999999999</v>
      </c>
      <c r="I497" s="180">
        <v>3316.71</v>
      </c>
      <c r="J497" s="180">
        <v>99.81</v>
      </c>
      <c r="K497" s="180">
        <v>14791.42</v>
      </c>
      <c r="L497" s="357">
        <v>6.1589465352429009</v>
      </c>
      <c r="M497" s="357">
        <v>13.05</v>
      </c>
      <c r="N497" s="357">
        <v>5.7527377521613827</v>
      </c>
      <c r="O497" s="357">
        <v>5.5092370495076057</v>
      </c>
      <c r="P497" s="181"/>
      <c r="Q497" s="181"/>
      <c r="R497" s="181">
        <v>11</v>
      </c>
    </row>
    <row r="498" spans="1:18" ht="24">
      <c r="A498" s="177">
        <v>57.59</v>
      </c>
      <c r="B498" s="170" t="s">
        <v>835</v>
      </c>
      <c r="C498" s="178" t="s">
        <v>836</v>
      </c>
      <c r="D498" s="179">
        <v>4382.88</v>
      </c>
      <c r="E498" s="179">
        <v>457.38</v>
      </c>
      <c r="F498" s="179">
        <v>12.05</v>
      </c>
      <c r="G498" s="179">
        <v>3913.45</v>
      </c>
      <c r="H498" s="180">
        <v>37758.9</v>
      </c>
      <c r="I498" s="180">
        <v>5968.92</v>
      </c>
      <c r="J498" s="180">
        <v>70.239999999999995</v>
      </c>
      <c r="K498" s="180">
        <v>31719.74</v>
      </c>
      <c r="L498" s="357">
        <v>8.6150887087942181</v>
      </c>
      <c r="M498" s="357">
        <v>13.05</v>
      </c>
      <c r="N498" s="357">
        <v>5.8290456431535258</v>
      </c>
      <c r="O498" s="357">
        <v>8.1053137257407162</v>
      </c>
      <c r="P498" s="181"/>
      <c r="Q498" s="181"/>
      <c r="R498" s="181">
        <v>11</v>
      </c>
    </row>
    <row r="499" spans="1:18" ht="36">
      <c r="A499" s="177">
        <v>57.6</v>
      </c>
      <c r="B499" s="170" t="s">
        <v>837</v>
      </c>
      <c r="C499" s="178" t="s">
        <v>838</v>
      </c>
      <c r="D499" s="179">
        <v>4304.03</v>
      </c>
      <c r="E499" s="179">
        <v>378.53</v>
      </c>
      <c r="F499" s="179">
        <v>12.05</v>
      </c>
      <c r="G499" s="179">
        <v>3913.45</v>
      </c>
      <c r="H499" s="180">
        <v>36729.949999999997</v>
      </c>
      <c r="I499" s="180">
        <v>4939.97</v>
      </c>
      <c r="J499" s="180">
        <v>70.239999999999995</v>
      </c>
      <c r="K499" s="180">
        <v>31719.74</v>
      </c>
      <c r="L499" s="357">
        <v>8.53385083282412</v>
      </c>
      <c r="M499" s="357">
        <v>13.05</v>
      </c>
      <c r="N499" s="357">
        <v>5.8290456431535258</v>
      </c>
      <c r="O499" s="357">
        <v>8.1053137257407162</v>
      </c>
      <c r="P499" s="181"/>
      <c r="Q499" s="181"/>
      <c r="R499" s="181">
        <v>11</v>
      </c>
    </row>
    <row r="500" spans="1:18" ht="24">
      <c r="A500" s="177">
        <v>57.61</v>
      </c>
      <c r="B500" s="170" t="s">
        <v>839</v>
      </c>
      <c r="C500" s="178" t="s">
        <v>840</v>
      </c>
      <c r="D500" s="179">
        <v>2126.9699999999998</v>
      </c>
      <c r="E500" s="179">
        <v>473.34</v>
      </c>
      <c r="F500" s="179">
        <v>23.52</v>
      </c>
      <c r="G500" s="179">
        <v>1630.11</v>
      </c>
      <c r="H500" s="180">
        <v>14099</v>
      </c>
      <c r="I500" s="180">
        <v>6177.1</v>
      </c>
      <c r="J500" s="180">
        <v>144.01</v>
      </c>
      <c r="K500" s="180">
        <v>7777.89</v>
      </c>
      <c r="L500" s="357">
        <v>6.6286783546547445</v>
      </c>
      <c r="M500" s="357">
        <v>13.05</v>
      </c>
      <c r="N500" s="357">
        <v>6.1228741496598635</v>
      </c>
      <c r="O500" s="357">
        <v>4.7713896608204358</v>
      </c>
      <c r="P500" s="181"/>
      <c r="Q500" s="181"/>
      <c r="R500" s="181">
        <v>11</v>
      </c>
    </row>
    <row r="501" spans="1:18" ht="24">
      <c r="A501" s="182">
        <v>57.62</v>
      </c>
      <c r="B501" s="183" t="s">
        <v>841</v>
      </c>
      <c r="C501" s="184" t="s">
        <v>842</v>
      </c>
      <c r="D501" s="185">
        <v>3644.98</v>
      </c>
      <c r="E501" s="185">
        <v>246.65</v>
      </c>
      <c r="F501" s="185">
        <v>49.82</v>
      </c>
      <c r="G501" s="185">
        <v>3348.51</v>
      </c>
      <c r="H501" s="186">
        <v>19595.68</v>
      </c>
      <c r="I501" s="186">
        <v>3218.6</v>
      </c>
      <c r="J501" s="186">
        <v>301.18</v>
      </c>
      <c r="K501" s="186">
        <v>16075.9</v>
      </c>
      <c r="L501" s="356">
        <v>5.376073394092697</v>
      </c>
      <c r="M501" s="356">
        <v>13.05</v>
      </c>
      <c r="N501" s="356">
        <v>6.0453633079084703</v>
      </c>
      <c r="O501" s="356">
        <v>4.8009114501673871</v>
      </c>
      <c r="P501" s="187"/>
      <c r="Q501" s="187"/>
      <c r="R501" s="187">
        <v>11</v>
      </c>
    </row>
    <row r="502" spans="1:18" ht="12.75">
      <c r="A502" s="428" t="s">
        <v>843</v>
      </c>
      <c r="B502" s="429"/>
      <c r="C502" s="429"/>
      <c r="D502" s="429"/>
      <c r="E502" s="429"/>
      <c r="F502" s="429"/>
      <c r="G502" s="429"/>
      <c r="H502" s="429"/>
      <c r="I502" s="429"/>
      <c r="J502" s="429"/>
      <c r="K502" s="429"/>
      <c r="L502" s="429"/>
      <c r="M502" s="429"/>
      <c r="N502" s="429"/>
      <c r="O502" s="429"/>
      <c r="P502" s="429"/>
      <c r="Q502" s="429"/>
      <c r="R502" s="429"/>
    </row>
    <row r="503" spans="1:18" ht="24">
      <c r="A503" s="177">
        <v>57.63</v>
      </c>
      <c r="B503" s="170" t="s">
        <v>844</v>
      </c>
      <c r="C503" s="178" t="s">
        <v>845</v>
      </c>
      <c r="D503" s="179">
        <v>25464.11</v>
      </c>
      <c r="E503" s="179">
        <v>1621.98</v>
      </c>
      <c r="F503" s="179">
        <v>14.67</v>
      </c>
      <c r="G503" s="179">
        <v>23827.46</v>
      </c>
      <c r="H503" s="180">
        <v>109390.95</v>
      </c>
      <c r="I503" s="180">
        <v>21167.14</v>
      </c>
      <c r="J503" s="180">
        <v>92.73</v>
      </c>
      <c r="K503" s="180">
        <v>88131.08</v>
      </c>
      <c r="L503" s="357">
        <v>4.295887427441996</v>
      </c>
      <c r="M503" s="357">
        <v>13.05</v>
      </c>
      <c r="N503" s="357">
        <v>6.3210633946830272</v>
      </c>
      <c r="O503" s="357">
        <v>3.6987190409720552</v>
      </c>
      <c r="P503" s="181"/>
      <c r="Q503" s="181"/>
      <c r="R503" s="181">
        <v>12</v>
      </c>
    </row>
    <row r="504" spans="1:18" ht="24">
      <c r="A504" s="182">
        <v>57.64</v>
      </c>
      <c r="B504" s="183" t="s">
        <v>846</v>
      </c>
      <c r="C504" s="184" t="s">
        <v>847</v>
      </c>
      <c r="D504" s="185">
        <v>16613.349999999999</v>
      </c>
      <c r="E504" s="185">
        <v>1091.3599999999999</v>
      </c>
      <c r="F504" s="185">
        <v>29.31</v>
      </c>
      <c r="G504" s="185">
        <v>15492.68</v>
      </c>
      <c r="H504" s="186">
        <v>71645.820000000007</v>
      </c>
      <c r="I504" s="186">
        <v>14242.38</v>
      </c>
      <c r="J504" s="186">
        <v>203.89</v>
      </c>
      <c r="K504" s="186">
        <v>57199.55</v>
      </c>
      <c r="L504" s="356">
        <v>4.3125450315559481</v>
      </c>
      <c r="M504" s="356">
        <v>13.05</v>
      </c>
      <c r="N504" s="356">
        <v>6.956328897987035</v>
      </c>
      <c r="O504" s="356">
        <v>3.6920371427022309</v>
      </c>
      <c r="P504" s="187"/>
      <c r="Q504" s="187"/>
      <c r="R504" s="187">
        <v>12</v>
      </c>
    </row>
    <row r="505" spans="1:18" ht="12.75">
      <c r="A505" s="428" t="s">
        <v>848</v>
      </c>
      <c r="B505" s="429"/>
      <c r="C505" s="429"/>
      <c r="D505" s="429"/>
      <c r="E505" s="429"/>
      <c r="F505" s="429"/>
      <c r="G505" s="429"/>
      <c r="H505" s="429"/>
      <c r="I505" s="429"/>
      <c r="J505" s="429"/>
      <c r="K505" s="429"/>
      <c r="L505" s="429"/>
      <c r="M505" s="429"/>
      <c r="N505" s="429"/>
      <c r="O505" s="429"/>
      <c r="P505" s="429"/>
      <c r="Q505" s="429"/>
      <c r="R505" s="429"/>
    </row>
    <row r="506" spans="1:18">
      <c r="A506" s="182">
        <v>57.65</v>
      </c>
      <c r="B506" s="183" t="s">
        <v>849</v>
      </c>
      <c r="C506" s="184" t="s">
        <v>850</v>
      </c>
      <c r="D506" s="185">
        <v>1715.93</v>
      </c>
      <c r="E506" s="185">
        <v>345.19</v>
      </c>
      <c r="F506" s="185"/>
      <c r="G506" s="185">
        <v>1370.74</v>
      </c>
      <c r="H506" s="186">
        <v>11056.79</v>
      </c>
      <c r="I506" s="186">
        <v>4504.68</v>
      </c>
      <c r="J506" s="186"/>
      <c r="K506" s="186">
        <v>6552.11</v>
      </c>
      <c r="L506" s="356">
        <v>6.4436136672241879</v>
      </c>
      <c r="M506" s="356">
        <v>13.05</v>
      </c>
      <c r="N506" s="356" t="s">
        <v>135</v>
      </c>
      <c r="O506" s="356">
        <v>4.7799801567036777</v>
      </c>
      <c r="P506" s="187"/>
      <c r="Q506" s="187"/>
      <c r="R506" s="187">
        <v>13</v>
      </c>
    </row>
    <row r="507" spans="1:18" ht="12.75">
      <c r="A507" s="428" t="s">
        <v>851</v>
      </c>
      <c r="B507" s="429"/>
      <c r="C507" s="429"/>
      <c r="D507" s="429"/>
      <c r="E507" s="429"/>
      <c r="F507" s="429"/>
      <c r="G507" s="429"/>
      <c r="H507" s="429"/>
      <c r="I507" s="429"/>
      <c r="J507" s="429"/>
      <c r="K507" s="429"/>
      <c r="L507" s="429"/>
      <c r="M507" s="429"/>
      <c r="N507" s="429"/>
      <c r="O507" s="429"/>
      <c r="P507" s="429"/>
      <c r="Q507" s="429"/>
      <c r="R507" s="429"/>
    </row>
    <row r="508" spans="1:18">
      <c r="A508" s="177">
        <v>57.66</v>
      </c>
      <c r="B508" s="170" t="s">
        <v>852</v>
      </c>
      <c r="C508" s="178" t="s">
        <v>853</v>
      </c>
      <c r="D508" s="179">
        <v>27310.27</v>
      </c>
      <c r="E508" s="179">
        <v>6401</v>
      </c>
      <c r="F508" s="179">
        <v>58.2</v>
      </c>
      <c r="G508" s="179">
        <v>20851.07</v>
      </c>
      <c r="H508" s="180">
        <v>154532.04999999999</v>
      </c>
      <c r="I508" s="180">
        <v>83533.86</v>
      </c>
      <c r="J508" s="180">
        <v>377.38</v>
      </c>
      <c r="K508" s="180">
        <v>70620.81</v>
      </c>
      <c r="L508" s="357">
        <v>5.6583860210829107</v>
      </c>
      <c r="M508" s="357">
        <v>13.05</v>
      </c>
      <c r="N508" s="357">
        <v>6.4841924398625421</v>
      </c>
      <c r="O508" s="357">
        <v>3.3869153957087095</v>
      </c>
      <c r="P508" s="181"/>
      <c r="Q508" s="181"/>
      <c r="R508" s="181">
        <v>14</v>
      </c>
    </row>
    <row r="509" spans="1:18" ht="24">
      <c r="A509" s="177">
        <v>57.67</v>
      </c>
      <c r="B509" s="170" t="s">
        <v>854</v>
      </c>
      <c r="C509" s="178" t="s">
        <v>855</v>
      </c>
      <c r="D509" s="179">
        <v>25031.66</v>
      </c>
      <c r="E509" s="179">
        <v>2287.71</v>
      </c>
      <c r="F509" s="179">
        <v>90.55</v>
      </c>
      <c r="G509" s="179">
        <v>22653.4</v>
      </c>
      <c r="H509" s="180">
        <v>109408.88</v>
      </c>
      <c r="I509" s="180">
        <v>29855.65</v>
      </c>
      <c r="J509" s="180">
        <v>570.28</v>
      </c>
      <c r="K509" s="180">
        <v>78982.95</v>
      </c>
      <c r="L509" s="357">
        <v>4.3708199935601559</v>
      </c>
      <c r="M509" s="357">
        <v>13.05</v>
      </c>
      <c r="N509" s="357">
        <v>6.2979569298729983</v>
      </c>
      <c r="O509" s="357">
        <v>3.4865825880441785</v>
      </c>
      <c r="P509" s="181"/>
      <c r="Q509" s="181"/>
      <c r="R509" s="181">
        <v>14</v>
      </c>
    </row>
    <row r="510" spans="1:18">
      <c r="A510" s="182">
        <v>57.68</v>
      </c>
      <c r="B510" s="183" t="s">
        <v>856</v>
      </c>
      <c r="C510" s="184" t="s">
        <v>857</v>
      </c>
      <c r="D510" s="185">
        <v>19713.87</v>
      </c>
      <c r="E510" s="185">
        <v>8560.74</v>
      </c>
      <c r="F510" s="185">
        <v>51.34</v>
      </c>
      <c r="G510" s="185">
        <v>11101.79</v>
      </c>
      <c r="H510" s="186">
        <v>149257.76</v>
      </c>
      <c r="I510" s="186">
        <v>111717.66</v>
      </c>
      <c r="J510" s="186">
        <v>352.4</v>
      </c>
      <c r="K510" s="186">
        <v>37187.699999999997</v>
      </c>
      <c r="L510" s="356">
        <v>7.5712054507816076</v>
      </c>
      <c r="M510" s="356">
        <v>13.05</v>
      </c>
      <c r="N510" s="356">
        <v>6.8640436306973109</v>
      </c>
      <c r="O510" s="356">
        <v>3.3497030659019846</v>
      </c>
      <c r="P510" s="187"/>
      <c r="Q510" s="187"/>
      <c r="R510" s="187">
        <v>14</v>
      </c>
    </row>
    <row r="511" spans="1:18" ht="12.75">
      <c r="A511" s="428" t="s">
        <v>858</v>
      </c>
      <c r="B511" s="429"/>
      <c r="C511" s="429"/>
      <c r="D511" s="429"/>
      <c r="E511" s="429"/>
      <c r="F511" s="429"/>
      <c r="G511" s="429"/>
      <c r="H511" s="429"/>
      <c r="I511" s="429"/>
      <c r="J511" s="429"/>
      <c r="K511" s="429"/>
      <c r="L511" s="429"/>
      <c r="M511" s="429"/>
      <c r="N511" s="429"/>
      <c r="O511" s="429"/>
      <c r="P511" s="429"/>
      <c r="Q511" s="429"/>
      <c r="R511" s="429"/>
    </row>
    <row r="512" spans="1:18" ht="24">
      <c r="A512" s="177">
        <v>57.69</v>
      </c>
      <c r="B512" s="170" t="s">
        <v>859</v>
      </c>
      <c r="C512" s="178" t="s">
        <v>860</v>
      </c>
      <c r="D512" s="179">
        <v>138.38999999999999</v>
      </c>
      <c r="E512" s="179">
        <v>125.34</v>
      </c>
      <c r="F512" s="179">
        <v>7.08</v>
      </c>
      <c r="G512" s="179">
        <v>5.97</v>
      </c>
      <c r="H512" s="180">
        <v>1715.35</v>
      </c>
      <c r="I512" s="180">
        <v>1635.65</v>
      </c>
      <c r="J512" s="180">
        <v>40.43</v>
      </c>
      <c r="K512" s="180">
        <v>39.270000000000003</v>
      </c>
      <c r="L512" s="357">
        <v>12.395042994436015</v>
      </c>
      <c r="M512" s="357">
        <v>13.05</v>
      </c>
      <c r="N512" s="357">
        <v>5.7104519774011298</v>
      </c>
      <c r="O512" s="357">
        <v>6.5778894472361813</v>
      </c>
      <c r="P512" s="181"/>
      <c r="Q512" s="181"/>
      <c r="R512" s="181">
        <v>15</v>
      </c>
    </row>
    <row r="513" spans="1:18" ht="24">
      <c r="A513" s="177">
        <v>57.7</v>
      </c>
      <c r="B513" s="170" t="s">
        <v>861</v>
      </c>
      <c r="C513" s="178" t="s">
        <v>862</v>
      </c>
      <c r="D513" s="179">
        <v>88.25</v>
      </c>
      <c r="E513" s="179">
        <v>75.2</v>
      </c>
      <c r="F513" s="179">
        <v>7.08</v>
      </c>
      <c r="G513" s="179">
        <v>5.97</v>
      </c>
      <c r="H513" s="180">
        <v>1061.0899999999999</v>
      </c>
      <c r="I513" s="180">
        <v>981.39</v>
      </c>
      <c r="J513" s="180">
        <v>40.43</v>
      </c>
      <c r="K513" s="180">
        <v>39.270000000000003</v>
      </c>
      <c r="L513" s="357">
        <v>12.023682719546741</v>
      </c>
      <c r="M513" s="357">
        <v>13.05</v>
      </c>
      <c r="N513" s="357">
        <v>5.7104519774011298</v>
      </c>
      <c r="O513" s="357">
        <v>6.5778894472361813</v>
      </c>
      <c r="P513" s="181"/>
      <c r="Q513" s="181"/>
      <c r="R513" s="181">
        <v>15</v>
      </c>
    </row>
    <row r="514" spans="1:18">
      <c r="A514" s="177">
        <v>57.71</v>
      </c>
      <c r="B514" s="170" t="s">
        <v>863</v>
      </c>
      <c r="C514" s="178" t="s">
        <v>864</v>
      </c>
      <c r="D514" s="179">
        <v>195.59</v>
      </c>
      <c r="E514" s="179">
        <v>169.66</v>
      </c>
      <c r="F514" s="179">
        <v>14.15</v>
      </c>
      <c r="G514" s="179">
        <v>11.78</v>
      </c>
      <c r="H514" s="180">
        <v>2372.27</v>
      </c>
      <c r="I514" s="180">
        <v>2214.12</v>
      </c>
      <c r="J514" s="180">
        <v>80.86</v>
      </c>
      <c r="K514" s="180">
        <v>77.290000000000006</v>
      </c>
      <c r="L514" s="357">
        <v>12.128789815430236</v>
      </c>
      <c r="M514" s="357">
        <v>13.05</v>
      </c>
      <c r="N514" s="357">
        <v>5.7144876325088338</v>
      </c>
      <c r="O514" s="357">
        <v>6.5611205432937192</v>
      </c>
      <c r="P514" s="181"/>
      <c r="Q514" s="181"/>
      <c r="R514" s="181">
        <v>15</v>
      </c>
    </row>
    <row r="515" spans="1:18">
      <c r="A515" s="177">
        <v>57.72</v>
      </c>
      <c r="B515" s="170" t="s">
        <v>865</v>
      </c>
      <c r="C515" s="178" t="s">
        <v>866</v>
      </c>
      <c r="D515" s="179">
        <v>137.91999999999999</v>
      </c>
      <c r="E515" s="179">
        <v>111.99</v>
      </c>
      <c r="F515" s="179">
        <v>14.15</v>
      </c>
      <c r="G515" s="179">
        <v>11.78</v>
      </c>
      <c r="H515" s="180">
        <v>1619.6</v>
      </c>
      <c r="I515" s="180">
        <v>1461.45</v>
      </c>
      <c r="J515" s="180">
        <v>80.86</v>
      </c>
      <c r="K515" s="180">
        <v>77.290000000000006</v>
      </c>
      <c r="L515" s="357">
        <v>11.743039443155453</v>
      </c>
      <c r="M515" s="357">
        <v>13.05</v>
      </c>
      <c r="N515" s="357">
        <v>5.7144876325088338</v>
      </c>
      <c r="O515" s="357">
        <v>6.5611205432937192</v>
      </c>
      <c r="P515" s="181"/>
      <c r="Q515" s="181"/>
      <c r="R515" s="181">
        <v>15</v>
      </c>
    </row>
    <row r="516" spans="1:18" ht="12.75">
      <c r="A516" s="168"/>
      <c r="B516" s="174"/>
      <c r="C516" s="173"/>
      <c r="D516" s="175"/>
      <c r="E516" s="175"/>
      <c r="F516" s="175"/>
      <c r="G516" s="175"/>
      <c r="H516" s="176"/>
      <c r="I516" s="176"/>
      <c r="J516" s="176"/>
      <c r="K516" s="176"/>
      <c r="L516" s="355"/>
      <c r="M516" s="355"/>
      <c r="N516" s="355"/>
      <c r="O516" s="354"/>
      <c r="P516" s="167"/>
      <c r="Q516" s="167"/>
      <c r="R516" s="167"/>
    </row>
    <row r="517" spans="1:18">
      <c r="A517" s="148"/>
      <c r="B517" s="151"/>
      <c r="C517" s="148"/>
      <c r="D517" s="148"/>
      <c r="E517" s="148"/>
      <c r="F517" s="148"/>
      <c r="G517" s="148"/>
      <c r="H517" s="150"/>
      <c r="I517" s="150"/>
      <c r="J517" s="150"/>
      <c r="K517" s="150"/>
      <c r="O517" s="353"/>
      <c r="P517" s="148"/>
      <c r="Q517" s="148"/>
      <c r="R517" s="148"/>
    </row>
    <row r="518" spans="1:18">
      <c r="O518" s="353"/>
    </row>
    <row r="519" spans="1:18">
      <c r="O519" s="352"/>
    </row>
    <row r="520" spans="1:18" ht="23.25">
      <c r="A520" s="61"/>
      <c r="B520" s="60"/>
      <c r="C520" s="45" t="s">
        <v>868</v>
      </c>
      <c r="D520" s="45"/>
      <c r="E520" s="45"/>
      <c r="F520" s="45"/>
      <c r="G520" s="45"/>
      <c r="H520" s="58"/>
      <c r="I520" s="58"/>
      <c r="J520" s="58"/>
      <c r="K520" s="58"/>
      <c r="L520" s="351"/>
      <c r="M520" s="351"/>
      <c r="N520" s="351"/>
      <c r="O520" s="350"/>
    </row>
    <row r="521" spans="1:18" ht="12.75">
      <c r="A521" s="428" t="s">
        <v>869</v>
      </c>
      <c r="B521" s="429"/>
      <c r="C521" s="429"/>
      <c r="D521" s="429"/>
      <c r="E521" s="429"/>
      <c r="F521" s="429"/>
      <c r="G521" s="429"/>
      <c r="H521" s="429"/>
      <c r="I521" s="429"/>
      <c r="J521" s="429"/>
      <c r="K521" s="429"/>
      <c r="L521" s="429"/>
      <c r="M521" s="429"/>
      <c r="N521" s="429"/>
      <c r="O521" s="429"/>
      <c r="P521" s="429"/>
      <c r="Q521" s="429"/>
      <c r="R521" s="429"/>
    </row>
    <row r="522" spans="1:18" ht="24">
      <c r="A522" s="198">
        <v>58.1</v>
      </c>
      <c r="B522" s="191" t="s">
        <v>870</v>
      </c>
      <c r="C522" s="199" t="s">
        <v>871</v>
      </c>
      <c r="D522" s="200">
        <v>189.85</v>
      </c>
      <c r="E522" s="200">
        <v>143.87</v>
      </c>
      <c r="F522" s="200">
        <v>45.98</v>
      </c>
      <c r="G522" s="200"/>
      <c r="H522" s="201">
        <v>2323.9499999999998</v>
      </c>
      <c r="I522" s="201">
        <v>1877.41</v>
      </c>
      <c r="J522" s="201">
        <v>446.54</v>
      </c>
      <c r="K522" s="201"/>
      <c r="L522" s="357">
        <v>12.240979720832236</v>
      </c>
      <c r="M522" s="357">
        <v>13.05</v>
      </c>
      <c r="N522" s="357">
        <v>9.7116137451065701</v>
      </c>
      <c r="O522" s="357" t="s">
        <v>135</v>
      </c>
      <c r="P522" s="202"/>
      <c r="Q522" s="202"/>
      <c r="R522" s="202">
        <v>1</v>
      </c>
    </row>
    <row r="523" spans="1:18" ht="24">
      <c r="A523" s="198">
        <v>58.2</v>
      </c>
      <c r="B523" s="191" t="s">
        <v>872</v>
      </c>
      <c r="C523" s="199" t="s">
        <v>873</v>
      </c>
      <c r="D523" s="200">
        <v>248.08</v>
      </c>
      <c r="E523" s="200">
        <v>219.09</v>
      </c>
      <c r="F523" s="200">
        <v>28.99</v>
      </c>
      <c r="G523" s="200"/>
      <c r="H523" s="201">
        <v>3140.55</v>
      </c>
      <c r="I523" s="201">
        <v>2859.04</v>
      </c>
      <c r="J523" s="201">
        <v>281.51</v>
      </c>
      <c r="K523" s="201"/>
      <c r="L523" s="357">
        <v>12.659424379232506</v>
      </c>
      <c r="M523" s="357">
        <v>13.05</v>
      </c>
      <c r="N523" s="357">
        <v>9.7105898585719217</v>
      </c>
      <c r="O523" s="357" t="s">
        <v>135</v>
      </c>
      <c r="P523" s="202"/>
      <c r="Q523" s="202"/>
      <c r="R523" s="202">
        <v>1</v>
      </c>
    </row>
    <row r="524" spans="1:18" ht="36">
      <c r="A524" s="198">
        <v>58.3</v>
      </c>
      <c r="B524" s="191" t="s">
        <v>874</v>
      </c>
      <c r="C524" s="199" t="s">
        <v>875</v>
      </c>
      <c r="D524" s="200">
        <v>303.57</v>
      </c>
      <c r="E524" s="200">
        <v>261.58999999999997</v>
      </c>
      <c r="F524" s="200">
        <v>41.98</v>
      </c>
      <c r="G524" s="200"/>
      <c r="H524" s="201">
        <v>3821.41</v>
      </c>
      <c r="I524" s="201">
        <v>3413.7</v>
      </c>
      <c r="J524" s="201">
        <v>407.71</v>
      </c>
      <c r="K524" s="201"/>
      <c r="L524" s="357">
        <v>12.588233356392266</v>
      </c>
      <c r="M524" s="357">
        <v>13.05</v>
      </c>
      <c r="N524" s="357">
        <v>9.7120057170080987</v>
      </c>
      <c r="O524" s="357" t="s">
        <v>135</v>
      </c>
      <c r="P524" s="202"/>
      <c r="Q524" s="202"/>
      <c r="R524" s="202">
        <v>1</v>
      </c>
    </row>
    <row r="525" spans="1:18" ht="24">
      <c r="A525" s="203">
        <v>58.4</v>
      </c>
      <c r="B525" s="204" t="s">
        <v>876</v>
      </c>
      <c r="C525" s="205" t="s">
        <v>877</v>
      </c>
      <c r="D525" s="206">
        <v>90.86</v>
      </c>
      <c r="E525" s="206">
        <v>63.87</v>
      </c>
      <c r="F525" s="206">
        <v>26.99</v>
      </c>
      <c r="G525" s="206"/>
      <c r="H525" s="207">
        <v>1095.54</v>
      </c>
      <c r="I525" s="207">
        <v>833.44</v>
      </c>
      <c r="J525" s="207">
        <v>262.10000000000002</v>
      </c>
      <c r="K525" s="207"/>
      <c r="L525" s="356">
        <v>12.057451023552717</v>
      </c>
      <c r="M525" s="356">
        <v>13.05</v>
      </c>
      <c r="N525" s="356">
        <v>9.7110040755835509</v>
      </c>
      <c r="O525" s="356" t="s">
        <v>135</v>
      </c>
      <c r="P525" s="208"/>
      <c r="Q525" s="208"/>
      <c r="R525" s="208">
        <v>1</v>
      </c>
    </row>
    <row r="526" spans="1:18" ht="12.75">
      <c r="A526" s="428" t="s">
        <v>878</v>
      </c>
      <c r="B526" s="429"/>
      <c r="C526" s="429"/>
      <c r="D526" s="429"/>
      <c r="E526" s="429"/>
      <c r="F526" s="429"/>
      <c r="G526" s="429"/>
      <c r="H526" s="429"/>
      <c r="I526" s="429"/>
      <c r="J526" s="429"/>
      <c r="K526" s="429"/>
      <c r="L526" s="429"/>
      <c r="M526" s="429"/>
      <c r="N526" s="429"/>
      <c r="O526" s="429"/>
      <c r="P526" s="429"/>
      <c r="Q526" s="429"/>
      <c r="R526" s="429"/>
    </row>
    <row r="527" spans="1:18" ht="24">
      <c r="A527" s="198">
        <v>58.5</v>
      </c>
      <c r="B527" s="191" t="s">
        <v>879</v>
      </c>
      <c r="C527" s="199" t="s">
        <v>880</v>
      </c>
      <c r="D527" s="200">
        <v>3250.9</v>
      </c>
      <c r="E527" s="200">
        <v>3238.94</v>
      </c>
      <c r="F527" s="200">
        <v>11.96</v>
      </c>
      <c r="G527" s="200"/>
      <c r="H527" s="201">
        <v>42313.8</v>
      </c>
      <c r="I527" s="201">
        <v>42266.59</v>
      </c>
      <c r="J527" s="201">
        <v>47.21</v>
      </c>
      <c r="K527" s="201"/>
      <c r="L527" s="357">
        <v>13.016026331169831</v>
      </c>
      <c r="M527" s="357">
        <v>13.05</v>
      </c>
      <c r="N527" s="357">
        <v>3.9473244147157187</v>
      </c>
      <c r="O527" s="357" t="s">
        <v>135</v>
      </c>
      <c r="P527" s="202"/>
      <c r="Q527" s="202"/>
      <c r="R527" s="202">
        <v>2</v>
      </c>
    </row>
    <row r="528" spans="1:18" ht="24">
      <c r="A528" s="198">
        <v>58.6</v>
      </c>
      <c r="B528" s="191" t="s">
        <v>881</v>
      </c>
      <c r="C528" s="199" t="s">
        <v>882</v>
      </c>
      <c r="D528" s="200">
        <v>2947.22</v>
      </c>
      <c r="E528" s="200">
        <v>2935.26</v>
      </c>
      <c r="F528" s="200">
        <v>11.96</v>
      </c>
      <c r="G528" s="200"/>
      <c r="H528" s="201">
        <v>38350.92</v>
      </c>
      <c r="I528" s="201">
        <v>38303.71</v>
      </c>
      <c r="J528" s="201">
        <v>47.21</v>
      </c>
      <c r="K528" s="201"/>
      <c r="L528" s="357">
        <v>13.012574561790434</v>
      </c>
      <c r="M528" s="357">
        <v>13.05</v>
      </c>
      <c r="N528" s="357">
        <v>3.9473244147157187</v>
      </c>
      <c r="O528" s="357" t="s">
        <v>135</v>
      </c>
      <c r="P528" s="202"/>
      <c r="Q528" s="202"/>
      <c r="R528" s="202">
        <v>2</v>
      </c>
    </row>
    <row r="529" spans="1:18" ht="24">
      <c r="A529" s="203">
        <v>58.7</v>
      </c>
      <c r="B529" s="204" t="s">
        <v>883</v>
      </c>
      <c r="C529" s="205" t="s">
        <v>884</v>
      </c>
      <c r="D529" s="206">
        <v>1321.81</v>
      </c>
      <c r="E529" s="206">
        <v>1313.42</v>
      </c>
      <c r="F529" s="206">
        <v>8.39</v>
      </c>
      <c r="G529" s="206"/>
      <c r="H529" s="207">
        <v>17172.59</v>
      </c>
      <c r="I529" s="207">
        <v>17139.46</v>
      </c>
      <c r="J529" s="207">
        <v>33.130000000000003</v>
      </c>
      <c r="K529" s="207"/>
      <c r="L529" s="356">
        <v>12.991723470090255</v>
      </c>
      <c r="M529" s="356">
        <v>13.05</v>
      </c>
      <c r="N529" s="356">
        <v>3.9487485101311086</v>
      </c>
      <c r="O529" s="356" t="s">
        <v>135</v>
      </c>
      <c r="P529" s="208"/>
      <c r="Q529" s="208"/>
      <c r="R529" s="208">
        <v>2</v>
      </c>
    </row>
    <row r="530" spans="1:18" ht="12.75">
      <c r="A530" s="428" t="s">
        <v>885</v>
      </c>
      <c r="B530" s="429"/>
      <c r="C530" s="429"/>
      <c r="D530" s="429"/>
      <c r="E530" s="429"/>
      <c r="F530" s="429"/>
      <c r="G530" s="429"/>
      <c r="H530" s="429"/>
      <c r="I530" s="429"/>
      <c r="J530" s="429"/>
      <c r="K530" s="429"/>
      <c r="L530" s="429"/>
      <c r="M530" s="429"/>
      <c r="N530" s="429"/>
      <c r="O530" s="429"/>
      <c r="P530" s="429"/>
      <c r="Q530" s="429"/>
      <c r="R530" s="429"/>
    </row>
    <row r="531" spans="1:18" ht="36">
      <c r="A531" s="198">
        <v>58.8</v>
      </c>
      <c r="B531" s="191" t="s">
        <v>886</v>
      </c>
      <c r="C531" s="199" t="s">
        <v>887</v>
      </c>
      <c r="D531" s="200">
        <v>85.05</v>
      </c>
      <c r="E531" s="200">
        <v>84.81</v>
      </c>
      <c r="F531" s="200">
        <v>0.24</v>
      </c>
      <c r="G531" s="200"/>
      <c r="H531" s="201">
        <v>1107.76</v>
      </c>
      <c r="I531" s="201">
        <v>1106.83</v>
      </c>
      <c r="J531" s="201">
        <v>0.93</v>
      </c>
      <c r="K531" s="201"/>
      <c r="L531" s="357">
        <v>13.024808935920047</v>
      </c>
      <c r="M531" s="357">
        <v>13.05</v>
      </c>
      <c r="N531" s="357">
        <v>3.8750000000000004</v>
      </c>
      <c r="O531" s="357" t="s">
        <v>135</v>
      </c>
      <c r="P531" s="202"/>
      <c r="Q531" s="202"/>
      <c r="R531" s="202">
        <v>3</v>
      </c>
    </row>
    <row r="532" spans="1:18" ht="36">
      <c r="A532" s="198">
        <v>58.9</v>
      </c>
      <c r="B532" s="191" t="s">
        <v>888</v>
      </c>
      <c r="C532" s="199" t="s">
        <v>889</v>
      </c>
      <c r="D532" s="200">
        <v>105.76</v>
      </c>
      <c r="E532" s="200">
        <v>105.76</v>
      </c>
      <c r="F532" s="200"/>
      <c r="G532" s="200"/>
      <c r="H532" s="201">
        <v>1380.22</v>
      </c>
      <c r="I532" s="201">
        <v>1380.22</v>
      </c>
      <c r="J532" s="201"/>
      <c r="K532" s="201"/>
      <c r="L532" s="357">
        <v>13.050491679273827</v>
      </c>
      <c r="M532" s="357">
        <v>13.05</v>
      </c>
      <c r="N532" s="357" t="s">
        <v>135</v>
      </c>
      <c r="O532" s="357" t="s">
        <v>135</v>
      </c>
      <c r="P532" s="202"/>
      <c r="Q532" s="202"/>
      <c r="R532" s="202">
        <v>3</v>
      </c>
    </row>
    <row r="533" spans="1:18" ht="24">
      <c r="A533" s="203">
        <v>58.1</v>
      </c>
      <c r="B533" s="204" t="s">
        <v>890</v>
      </c>
      <c r="C533" s="205" t="s">
        <v>891</v>
      </c>
      <c r="D533" s="206">
        <v>281.08</v>
      </c>
      <c r="E533" s="206">
        <v>281.08</v>
      </c>
      <c r="F533" s="206"/>
      <c r="G533" s="206"/>
      <c r="H533" s="207">
        <v>3668.09</v>
      </c>
      <c r="I533" s="207">
        <v>3668.09</v>
      </c>
      <c r="J533" s="207"/>
      <c r="K533" s="207"/>
      <c r="L533" s="356">
        <v>13.049985769176036</v>
      </c>
      <c r="M533" s="356">
        <v>13.05</v>
      </c>
      <c r="N533" s="356" t="s">
        <v>135</v>
      </c>
      <c r="O533" s="356" t="s">
        <v>135</v>
      </c>
      <c r="P533" s="208"/>
      <c r="Q533" s="208"/>
      <c r="R533" s="208">
        <v>3</v>
      </c>
    </row>
    <row r="534" spans="1:18" ht="12.75">
      <c r="A534" s="428" t="s">
        <v>892</v>
      </c>
      <c r="B534" s="429"/>
      <c r="C534" s="429"/>
      <c r="D534" s="429"/>
      <c r="E534" s="429"/>
      <c r="F534" s="429"/>
      <c r="G534" s="429"/>
      <c r="H534" s="429"/>
      <c r="I534" s="429"/>
      <c r="J534" s="429"/>
      <c r="K534" s="429"/>
      <c r="L534" s="429"/>
      <c r="M534" s="429"/>
      <c r="N534" s="429"/>
      <c r="O534" s="429"/>
      <c r="P534" s="429"/>
      <c r="Q534" s="429"/>
      <c r="R534" s="429"/>
    </row>
    <row r="535" spans="1:18">
      <c r="A535" s="203">
        <v>58.11</v>
      </c>
      <c r="B535" s="204" t="s">
        <v>893</v>
      </c>
      <c r="C535" s="205" t="s">
        <v>894</v>
      </c>
      <c r="D535" s="206">
        <v>141.13</v>
      </c>
      <c r="E535" s="206">
        <v>139.27000000000001</v>
      </c>
      <c r="F535" s="206">
        <v>1.86</v>
      </c>
      <c r="G535" s="206"/>
      <c r="H535" s="207">
        <v>1824.79</v>
      </c>
      <c r="I535" s="207">
        <v>1817.44</v>
      </c>
      <c r="J535" s="207">
        <v>7.35</v>
      </c>
      <c r="K535" s="207"/>
      <c r="L535" s="356">
        <v>12.929851909586906</v>
      </c>
      <c r="M535" s="356">
        <v>13.05</v>
      </c>
      <c r="N535" s="356">
        <v>3.9516129032258061</v>
      </c>
      <c r="O535" s="356" t="s">
        <v>135</v>
      </c>
      <c r="P535" s="208"/>
      <c r="Q535" s="208"/>
      <c r="R535" s="208">
        <v>4</v>
      </c>
    </row>
    <row r="536" spans="1:18" ht="12.75">
      <c r="A536" s="428" t="s">
        <v>895</v>
      </c>
      <c r="B536" s="429"/>
      <c r="C536" s="429"/>
      <c r="D536" s="429"/>
      <c r="E536" s="429"/>
      <c r="F536" s="429"/>
      <c r="G536" s="429"/>
      <c r="H536" s="429"/>
      <c r="I536" s="429"/>
      <c r="J536" s="429"/>
      <c r="K536" s="429"/>
      <c r="L536" s="429"/>
      <c r="M536" s="429"/>
      <c r="N536" s="429"/>
      <c r="O536" s="429"/>
      <c r="P536" s="429"/>
      <c r="Q536" s="429"/>
      <c r="R536" s="429"/>
    </row>
    <row r="537" spans="1:18" ht="36">
      <c r="A537" s="198">
        <v>58.12</v>
      </c>
      <c r="B537" s="191" t="s">
        <v>896</v>
      </c>
      <c r="C537" s="199" t="s">
        <v>897</v>
      </c>
      <c r="D537" s="200">
        <v>4108.38</v>
      </c>
      <c r="E537" s="200">
        <v>406.28</v>
      </c>
      <c r="F537" s="200">
        <v>37.97</v>
      </c>
      <c r="G537" s="200">
        <v>3664.13</v>
      </c>
      <c r="H537" s="201">
        <v>20134.66</v>
      </c>
      <c r="I537" s="201">
        <v>5301.91</v>
      </c>
      <c r="J537" s="201">
        <v>190.68</v>
      </c>
      <c r="K537" s="201">
        <v>14642.07</v>
      </c>
      <c r="L537" s="357">
        <v>4.9008757709851567</v>
      </c>
      <c r="M537" s="357">
        <v>13.05</v>
      </c>
      <c r="N537" s="357">
        <v>5.0218593626547277</v>
      </c>
      <c r="O537" s="357">
        <v>3.9960563626290551</v>
      </c>
      <c r="P537" s="202"/>
      <c r="Q537" s="202"/>
      <c r="R537" s="202">
        <v>5</v>
      </c>
    </row>
    <row r="538" spans="1:18" ht="24">
      <c r="A538" s="198">
        <v>58.13</v>
      </c>
      <c r="B538" s="191" t="s">
        <v>898</v>
      </c>
      <c r="C538" s="199" t="s">
        <v>899</v>
      </c>
      <c r="D538" s="200">
        <v>5133.08</v>
      </c>
      <c r="E538" s="200">
        <v>1632.54</v>
      </c>
      <c r="F538" s="200">
        <v>69.63</v>
      </c>
      <c r="G538" s="200">
        <v>3430.91</v>
      </c>
      <c r="H538" s="201">
        <v>35538.33</v>
      </c>
      <c r="I538" s="201">
        <v>21304.73</v>
      </c>
      <c r="J538" s="201">
        <v>348.32</v>
      </c>
      <c r="K538" s="201">
        <v>13885.28</v>
      </c>
      <c r="L538" s="357">
        <v>6.923392972640209</v>
      </c>
      <c r="M538" s="357">
        <v>13.05</v>
      </c>
      <c r="N538" s="357">
        <v>5.0024414763751262</v>
      </c>
      <c r="O538" s="357">
        <v>4.0471128650999297</v>
      </c>
      <c r="P538" s="202"/>
      <c r="Q538" s="202"/>
      <c r="R538" s="202">
        <v>5</v>
      </c>
    </row>
    <row r="539" spans="1:18" ht="24">
      <c r="A539" s="198">
        <v>58.14</v>
      </c>
      <c r="B539" s="191" t="s">
        <v>900</v>
      </c>
      <c r="C539" s="199" t="s">
        <v>901</v>
      </c>
      <c r="D539" s="200">
        <v>8478.24</v>
      </c>
      <c r="E539" s="200">
        <v>1529.42</v>
      </c>
      <c r="F539" s="200">
        <v>35.880000000000003</v>
      </c>
      <c r="G539" s="200">
        <v>6912.94</v>
      </c>
      <c r="H539" s="201">
        <v>41786.660000000003</v>
      </c>
      <c r="I539" s="201">
        <v>19958.97</v>
      </c>
      <c r="J539" s="201">
        <v>178.94</v>
      </c>
      <c r="K539" s="201">
        <v>21648.75</v>
      </c>
      <c r="L539" s="357">
        <v>4.9286951065315447</v>
      </c>
      <c r="M539" s="357">
        <v>13.05</v>
      </c>
      <c r="N539" s="357">
        <v>4.9871794871794863</v>
      </c>
      <c r="O539" s="357">
        <v>3.1316270646063762</v>
      </c>
      <c r="P539" s="202"/>
      <c r="Q539" s="202"/>
      <c r="R539" s="202">
        <v>5</v>
      </c>
    </row>
    <row r="540" spans="1:18" ht="24">
      <c r="A540" s="198">
        <v>58.15</v>
      </c>
      <c r="B540" s="191" t="s">
        <v>902</v>
      </c>
      <c r="C540" s="199" t="s">
        <v>903</v>
      </c>
      <c r="D540" s="200">
        <v>3159.78</v>
      </c>
      <c r="E540" s="200">
        <v>1357.82</v>
      </c>
      <c r="F540" s="200">
        <v>20.95</v>
      </c>
      <c r="G540" s="200">
        <v>1781.01</v>
      </c>
      <c r="H540" s="201">
        <v>24555.3</v>
      </c>
      <c r="I540" s="201">
        <v>17719.59</v>
      </c>
      <c r="J540" s="201">
        <v>104.84</v>
      </c>
      <c r="K540" s="201">
        <v>6730.87</v>
      </c>
      <c r="L540" s="357">
        <v>7.7712055902626123</v>
      </c>
      <c r="M540" s="357">
        <v>13.05</v>
      </c>
      <c r="N540" s="357">
        <v>5.0042959427207636</v>
      </c>
      <c r="O540" s="357">
        <v>3.7792432383872074</v>
      </c>
      <c r="P540" s="202"/>
      <c r="Q540" s="202"/>
      <c r="R540" s="202">
        <v>5</v>
      </c>
    </row>
    <row r="541" spans="1:18" ht="36">
      <c r="A541" s="198">
        <v>58.16</v>
      </c>
      <c r="B541" s="191" t="s">
        <v>904</v>
      </c>
      <c r="C541" s="199" t="s">
        <v>905</v>
      </c>
      <c r="D541" s="200">
        <v>5297.57</v>
      </c>
      <c r="E541" s="200">
        <v>1632.54</v>
      </c>
      <c r="F541" s="200">
        <v>69.63</v>
      </c>
      <c r="G541" s="200">
        <v>3595.4</v>
      </c>
      <c r="H541" s="201">
        <v>36760.61</v>
      </c>
      <c r="I541" s="201">
        <v>21304.73</v>
      </c>
      <c r="J541" s="201">
        <v>348.32</v>
      </c>
      <c r="K541" s="201">
        <v>15107.56</v>
      </c>
      <c r="L541" s="357">
        <v>6.9391456837757692</v>
      </c>
      <c r="M541" s="357">
        <v>13.05</v>
      </c>
      <c r="N541" s="357">
        <v>5.0024414763751262</v>
      </c>
      <c r="O541" s="357">
        <v>4.2019135562107133</v>
      </c>
      <c r="P541" s="202"/>
      <c r="Q541" s="202"/>
      <c r="R541" s="202">
        <v>5</v>
      </c>
    </row>
    <row r="542" spans="1:18" ht="36">
      <c r="A542" s="198">
        <v>58.17</v>
      </c>
      <c r="B542" s="191" t="s">
        <v>906</v>
      </c>
      <c r="C542" s="199" t="s">
        <v>907</v>
      </c>
      <c r="D542" s="200">
        <v>92.76</v>
      </c>
      <c r="E542" s="200">
        <v>14.23</v>
      </c>
      <c r="F542" s="200">
        <v>29.32</v>
      </c>
      <c r="G542" s="200">
        <v>49.21</v>
      </c>
      <c r="H542" s="201">
        <v>542.74</v>
      </c>
      <c r="I542" s="201">
        <v>185.68</v>
      </c>
      <c r="J542" s="201">
        <v>147.22999999999999</v>
      </c>
      <c r="K542" s="201">
        <v>209.83</v>
      </c>
      <c r="L542" s="357">
        <v>5.8510133678309613</v>
      </c>
      <c r="M542" s="357">
        <v>13.05</v>
      </c>
      <c r="N542" s="357">
        <v>5.0214870395634374</v>
      </c>
      <c r="O542" s="357">
        <v>4.2639707376549483</v>
      </c>
      <c r="P542" s="202"/>
      <c r="Q542" s="202"/>
      <c r="R542" s="202">
        <v>5</v>
      </c>
    </row>
    <row r="543" spans="1:18" ht="36">
      <c r="A543" s="203">
        <v>58.18</v>
      </c>
      <c r="B543" s="204" t="s">
        <v>908</v>
      </c>
      <c r="C543" s="205" t="s">
        <v>909</v>
      </c>
      <c r="D543" s="206">
        <v>147.31</v>
      </c>
      <c r="E543" s="206">
        <v>43.21</v>
      </c>
      <c r="F543" s="206">
        <v>36.9</v>
      </c>
      <c r="G543" s="206">
        <v>67.2</v>
      </c>
      <c r="H543" s="207">
        <v>1048</v>
      </c>
      <c r="I543" s="207">
        <v>563.84</v>
      </c>
      <c r="J543" s="207">
        <v>185.3</v>
      </c>
      <c r="K543" s="207">
        <v>298.86</v>
      </c>
      <c r="L543" s="356">
        <v>7.1142488629420946</v>
      </c>
      <c r="M543" s="356">
        <v>13.05</v>
      </c>
      <c r="N543" s="356">
        <v>5.0216802168021681</v>
      </c>
      <c r="O543" s="356">
        <v>4.4473214285714286</v>
      </c>
      <c r="P543" s="208"/>
      <c r="Q543" s="208"/>
      <c r="R543" s="208">
        <v>5</v>
      </c>
    </row>
    <row r="544" spans="1:18" ht="12.75">
      <c r="A544" s="428" t="s">
        <v>910</v>
      </c>
      <c r="B544" s="429"/>
      <c r="C544" s="429"/>
      <c r="D544" s="429"/>
      <c r="E544" s="429"/>
      <c r="F544" s="429"/>
      <c r="G544" s="429"/>
      <c r="H544" s="429"/>
      <c r="I544" s="429"/>
      <c r="J544" s="429"/>
      <c r="K544" s="429"/>
      <c r="L544" s="429"/>
      <c r="M544" s="429"/>
      <c r="N544" s="429"/>
      <c r="O544" s="429"/>
      <c r="P544" s="429"/>
      <c r="Q544" s="429"/>
      <c r="R544" s="429"/>
    </row>
    <row r="545" spans="1:18" ht="24">
      <c r="A545" s="198">
        <v>58.19</v>
      </c>
      <c r="B545" s="191" t="s">
        <v>911</v>
      </c>
      <c r="C545" s="199" t="s">
        <v>912</v>
      </c>
      <c r="D545" s="200">
        <v>3840.05</v>
      </c>
      <c r="E545" s="200">
        <v>827.43</v>
      </c>
      <c r="F545" s="200">
        <v>283.79000000000002</v>
      </c>
      <c r="G545" s="200">
        <v>2728.83</v>
      </c>
      <c r="H545" s="201">
        <v>29898.03</v>
      </c>
      <c r="I545" s="201">
        <v>10797.98</v>
      </c>
      <c r="J545" s="201">
        <v>2207</v>
      </c>
      <c r="K545" s="201">
        <v>16893.05</v>
      </c>
      <c r="L545" s="357">
        <v>7.7858439343237711</v>
      </c>
      <c r="M545" s="357">
        <v>13.05</v>
      </c>
      <c r="N545" s="357">
        <v>7.7768772684026919</v>
      </c>
      <c r="O545" s="357">
        <v>6.1905835101490378</v>
      </c>
      <c r="P545" s="202"/>
      <c r="Q545" s="202"/>
      <c r="R545" s="202">
        <v>6</v>
      </c>
    </row>
    <row r="546" spans="1:18" ht="24">
      <c r="A546" s="203">
        <v>58.2</v>
      </c>
      <c r="B546" s="204" t="s">
        <v>913</v>
      </c>
      <c r="C546" s="205" t="s">
        <v>914</v>
      </c>
      <c r="D546" s="206">
        <v>3861.28</v>
      </c>
      <c r="E546" s="206">
        <v>966.01</v>
      </c>
      <c r="F546" s="206">
        <v>384.01</v>
      </c>
      <c r="G546" s="206">
        <v>2511.2600000000002</v>
      </c>
      <c r="H546" s="207">
        <v>31975.91</v>
      </c>
      <c r="I546" s="207">
        <v>12606.5</v>
      </c>
      <c r="J546" s="207">
        <v>3120</v>
      </c>
      <c r="K546" s="207">
        <v>16249.41</v>
      </c>
      <c r="L546" s="356">
        <v>8.2811684208345415</v>
      </c>
      <c r="M546" s="356">
        <v>13.05</v>
      </c>
      <c r="N546" s="356">
        <v>8.1247884169683076</v>
      </c>
      <c r="O546" s="356">
        <v>6.4706203260514634</v>
      </c>
      <c r="P546" s="208"/>
      <c r="Q546" s="208"/>
      <c r="R546" s="208">
        <v>6</v>
      </c>
    </row>
    <row r="547" spans="1:18" ht="12.75">
      <c r="A547" s="428" t="s">
        <v>915</v>
      </c>
      <c r="B547" s="429"/>
      <c r="C547" s="429"/>
      <c r="D547" s="429"/>
      <c r="E547" s="429"/>
      <c r="F547" s="429"/>
      <c r="G547" s="429"/>
      <c r="H547" s="429"/>
      <c r="I547" s="429"/>
      <c r="J547" s="429"/>
      <c r="K547" s="429"/>
      <c r="L547" s="429"/>
      <c r="M547" s="429"/>
      <c r="N547" s="429"/>
      <c r="O547" s="429"/>
      <c r="P547" s="429"/>
      <c r="Q547" s="429"/>
      <c r="R547" s="429"/>
    </row>
    <row r="548" spans="1:18" ht="36">
      <c r="A548" s="198">
        <v>58.21</v>
      </c>
      <c r="B548" s="191" t="s">
        <v>916</v>
      </c>
      <c r="C548" s="199" t="s">
        <v>917</v>
      </c>
      <c r="D548" s="200">
        <v>2564.2800000000002</v>
      </c>
      <c r="E548" s="200">
        <v>233.56</v>
      </c>
      <c r="F548" s="200">
        <v>40.86</v>
      </c>
      <c r="G548" s="200">
        <v>2289.86</v>
      </c>
      <c r="H548" s="201">
        <v>14847.79</v>
      </c>
      <c r="I548" s="201">
        <v>3047.87</v>
      </c>
      <c r="J548" s="201">
        <v>299.29000000000002</v>
      </c>
      <c r="K548" s="201">
        <v>11500.63</v>
      </c>
      <c r="L548" s="357">
        <v>5.790237415570842</v>
      </c>
      <c r="M548" s="357">
        <v>13.05</v>
      </c>
      <c r="N548" s="357">
        <v>7.3247674987763096</v>
      </c>
      <c r="O548" s="357">
        <v>5.0224162175853539</v>
      </c>
      <c r="P548" s="202"/>
      <c r="Q548" s="202"/>
      <c r="R548" s="202">
        <v>7</v>
      </c>
    </row>
    <row r="549" spans="1:18" ht="36">
      <c r="A549" s="198">
        <v>58.22</v>
      </c>
      <c r="B549" s="191" t="s">
        <v>918</v>
      </c>
      <c r="C549" s="199" t="s">
        <v>919</v>
      </c>
      <c r="D549" s="200">
        <v>2862.29</v>
      </c>
      <c r="E549" s="200">
        <v>449.77</v>
      </c>
      <c r="F549" s="200">
        <v>78.19</v>
      </c>
      <c r="G549" s="200">
        <v>2334.33</v>
      </c>
      <c r="H549" s="201">
        <v>20069.810000000001</v>
      </c>
      <c r="I549" s="201">
        <v>5869.36</v>
      </c>
      <c r="J549" s="201">
        <v>576.87</v>
      </c>
      <c r="K549" s="201">
        <v>13623.58</v>
      </c>
      <c r="L549" s="357">
        <v>7.0118017391668914</v>
      </c>
      <c r="M549" s="357">
        <v>13.05</v>
      </c>
      <c r="N549" s="357">
        <v>7.3777976723366159</v>
      </c>
      <c r="O549" s="357">
        <v>5.8361842584381813</v>
      </c>
      <c r="P549" s="202"/>
      <c r="Q549" s="202"/>
      <c r="R549" s="202">
        <v>7</v>
      </c>
    </row>
    <row r="550" spans="1:18" ht="24">
      <c r="A550" s="198">
        <v>58.23</v>
      </c>
      <c r="B550" s="191" t="s">
        <v>920</v>
      </c>
      <c r="C550" s="199" t="s">
        <v>921</v>
      </c>
      <c r="D550" s="200">
        <v>1198.27</v>
      </c>
      <c r="E550" s="200">
        <v>122.29</v>
      </c>
      <c r="F550" s="200">
        <v>39.14</v>
      </c>
      <c r="G550" s="200">
        <v>1036.8399999999999</v>
      </c>
      <c r="H550" s="201">
        <v>7986.1</v>
      </c>
      <c r="I550" s="201">
        <v>1595.95</v>
      </c>
      <c r="J550" s="201">
        <v>283.33999999999997</v>
      </c>
      <c r="K550" s="201">
        <v>6106.81</v>
      </c>
      <c r="L550" s="357">
        <v>6.6646915970524176</v>
      </c>
      <c r="M550" s="357">
        <v>13.05</v>
      </c>
      <c r="N550" s="357">
        <v>7.2391415431783335</v>
      </c>
      <c r="O550" s="357">
        <v>5.889828710312103</v>
      </c>
      <c r="P550" s="202"/>
      <c r="Q550" s="202"/>
      <c r="R550" s="202">
        <v>7</v>
      </c>
    </row>
    <row r="551" spans="1:18" ht="24">
      <c r="A551" s="198">
        <v>58.24</v>
      </c>
      <c r="B551" s="191" t="s">
        <v>922</v>
      </c>
      <c r="C551" s="199" t="s">
        <v>923</v>
      </c>
      <c r="D551" s="200">
        <v>499.63</v>
      </c>
      <c r="E551" s="200">
        <v>129.81</v>
      </c>
      <c r="F551" s="200">
        <v>32.35</v>
      </c>
      <c r="G551" s="200">
        <v>337.47</v>
      </c>
      <c r="H551" s="201">
        <v>3172.81</v>
      </c>
      <c r="I551" s="201">
        <v>1694.02</v>
      </c>
      <c r="J551" s="201">
        <v>220.42</v>
      </c>
      <c r="K551" s="201">
        <v>1258.3699999999999</v>
      </c>
      <c r="L551" s="357">
        <v>6.3503192362348138</v>
      </c>
      <c r="M551" s="357">
        <v>13.05</v>
      </c>
      <c r="N551" s="357">
        <v>6.8136012364760425</v>
      </c>
      <c r="O551" s="357">
        <v>3.7288351557175448</v>
      </c>
      <c r="P551" s="202"/>
      <c r="Q551" s="202"/>
      <c r="R551" s="202">
        <v>7</v>
      </c>
    </row>
    <row r="552" spans="1:18" ht="24">
      <c r="A552" s="198">
        <v>58.25</v>
      </c>
      <c r="B552" s="191" t="s">
        <v>924</v>
      </c>
      <c r="C552" s="199" t="s">
        <v>925</v>
      </c>
      <c r="D552" s="200">
        <v>1905.58</v>
      </c>
      <c r="E552" s="200">
        <v>109.73</v>
      </c>
      <c r="F552" s="200">
        <v>12.88</v>
      </c>
      <c r="G552" s="200">
        <v>1782.97</v>
      </c>
      <c r="H552" s="201">
        <v>9868.17</v>
      </c>
      <c r="I552" s="201">
        <v>1431.97</v>
      </c>
      <c r="J552" s="201">
        <v>81.86</v>
      </c>
      <c r="K552" s="201">
        <v>8354.34</v>
      </c>
      <c r="L552" s="357">
        <v>5.1785650563083161</v>
      </c>
      <c r="M552" s="357">
        <v>13.05</v>
      </c>
      <c r="N552" s="357">
        <v>6.3555900621118004</v>
      </c>
      <c r="O552" s="357">
        <v>4.6856312781482581</v>
      </c>
      <c r="P552" s="202"/>
      <c r="Q552" s="202"/>
      <c r="R552" s="202">
        <v>7</v>
      </c>
    </row>
    <row r="553" spans="1:18" ht="36">
      <c r="A553" s="198">
        <v>58.26</v>
      </c>
      <c r="B553" s="191" t="s">
        <v>926</v>
      </c>
      <c r="C553" s="199" t="s">
        <v>927</v>
      </c>
      <c r="D553" s="200">
        <v>15129.24</v>
      </c>
      <c r="E553" s="200">
        <v>594.79</v>
      </c>
      <c r="F553" s="200">
        <v>59.69</v>
      </c>
      <c r="G553" s="200">
        <v>14474.76</v>
      </c>
      <c r="H553" s="201">
        <v>63126.16</v>
      </c>
      <c r="I553" s="201">
        <v>7761.91</v>
      </c>
      <c r="J553" s="201">
        <v>362.17</v>
      </c>
      <c r="K553" s="201">
        <v>55002.080000000002</v>
      </c>
      <c r="L553" s="357">
        <v>4.1724607448887054</v>
      </c>
      <c r="M553" s="357">
        <v>13.05</v>
      </c>
      <c r="N553" s="357">
        <v>6.0675154967331215</v>
      </c>
      <c r="O553" s="357">
        <v>3.7998612757655397</v>
      </c>
      <c r="P553" s="202"/>
      <c r="Q553" s="202"/>
      <c r="R553" s="202">
        <v>7</v>
      </c>
    </row>
    <row r="554" spans="1:18" ht="36">
      <c r="A554" s="203">
        <v>58.27</v>
      </c>
      <c r="B554" s="204" t="s">
        <v>928</v>
      </c>
      <c r="C554" s="205" t="s">
        <v>929</v>
      </c>
      <c r="D554" s="206">
        <v>10072.58</v>
      </c>
      <c r="E554" s="206">
        <v>503.73</v>
      </c>
      <c r="F554" s="206">
        <v>33.89</v>
      </c>
      <c r="G554" s="206">
        <v>9534.9599999999991</v>
      </c>
      <c r="H554" s="207">
        <v>43848.44</v>
      </c>
      <c r="I554" s="207">
        <v>6573.65</v>
      </c>
      <c r="J554" s="207">
        <v>205.74</v>
      </c>
      <c r="K554" s="207">
        <v>37069.050000000003</v>
      </c>
      <c r="L554" s="356">
        <v>4.3532481251079664</v>
      </c>
      <c r="M554" s="356">
        <v>13.05</v>
      </c>
      <c r="N554" s="356">
        <v>6.0708173502508114</v>
      </c>
      <c r="O554" s="356">
        <v>3.8876985325580815</v>
      </c>
      <c r="P554" s="208"/>
      <c r="Q554" s="208"/>
      <c r="R554" s="208">
        <v>7</v>
      </c>
    </row>
    <row r="555" spans="1:18" ht="12.75">
      <c r="A555" s="428" t="s">
        <v>930</v>
      </c>
      <c r="B555" s="429"/>
      <c r="C555" s="429"/>
      <c r="D555" s="429"/>
      <c r="E555" s="429"/>
      <c r="F555" s="429"/>
      <c r="G555" s="429"/>
      <c r="H555" s="429"/>
      <c r="I555" s="429"/>
      <c r="J555" s="429"/>
      <c r="K555" s="429"/>
      <c r="L555" s="429"/>
      <c r="M555" s="429"/>
      <c r="N555" s="429"/>
      <c r="O555" s="429"/>
      <c r="P555" s="429"/>
      <c r="Q555" s="429"/>
      <c r="R555" s="429"/>
    </row>
    <row r="556" spans="1:18" ht="24">
      <c r="A556" s="198">
        <v>58.28</v>
      </c>
      <c r="B556" s="191" t="s">
        <v>931</v>
      </c>
      <c r="C556" s="199" t="s">
        <v>932</v>
      </c>
      <c r="D556" s="200">
        <v>1523.33</v>
      </c>
      <c r="E556" s="200">
        <v>1341</v>
      </c>
      <c r="F556" s="200">
        <v>77.819999999999993</v>
      </c>
      <c r="G556" s="200">
        <v>104.51</v>
      </c>
      <c r="H556" s="201">
        <v>18328.12</v>
      </c>
      <c r="I556" s="201">
        <v>17500.169999999998</v>
      </c>
      <c r="J556" s="201">
        <v>404.81</v>
      </c>
      <c r="K556" s="201">
        <v>423.14</v>
      </c>
      <c r="L556" s="357">
        <v>12.03161494882921</v>
      </c>
      <c r="M556" s="357">
        <v>13.05</v>
      </c>
      <c r="N556" s="357">
        <v>5.2018761243896172</v>
      </c>
      <c r="O556" s="357">
        <v>4.0487991579753126</v>
      </c>
      <c r="P556" s="202"/>
      <c r="Q556" s="202"/>
      <c r="R556" s="202">
        <v>8</v>
      </c>
    </row>
    <row r="557" spans="1:18" ht="36">
      <c r="A557" s="198">
        <v>58.29</v>
      </c>
      <c r="B557" s="191" t="s">
        <v>933</v>
      </c>
      <c r="C557" s="199" t="s">
        <v>934</v>
      </c>
      <c r="D557" s="200">
        <v>1429.2</v>
      </c>
      <c r="E557" s="200">
        <v>1310.43</v>
      </c>
      <c r="F557" s="200">
        <v>77.819999999999993</v>
      </c>
      <c r="G557" s="200">
        <v>40.950000000000003</v>
      </c>
      <c r="H557" s="201">
        <v>17691.919999999998</v>
      </c>
      <c r="I557" s="201">
        <v>17101.23</v>
      </c>
      <c r="J557" s="201">
        <v>404.81</v>
      </c>
      <c r="K557" s="201">
        <v>185.88</v>
      </c>
      <c r="L557" s="357">
        <v>12.378897285194514</v>
      </c>
      <c r="M557" s="357">
        <v>13.05</v>
      </c>
      <c r="N557" s="357">
        <v>5.2018761243896172</v>
      </c>
      <c r="O557" s="357">
        <v>4.5391941391941391</v>
      </c>
      <c r="P557" s="202"/>
      <c r="Q557" s="202"/>
      <c r="R557" s="202">
        <v>8</v>
      </c>
    </row>
    <row r="558" spans="1:18" ht="24">
      <c r="A558" s="198">
        <v>58.3</v>
      </c>
      <c r="B558" s="191" t="s">
        <v>935</v>
      </c>
      <c r="C558" s="199" t="s">
        <v>936</v>
      </c>
      <c r="D558" s="200">
        <v>647.12</v>
      </c>
      <c r="E558" s="200">
        <v>589.84</v>
      </c>
      <c r="F558" s="200">
        <v>22.44</v>
      </c>
      <c r="G558" s="200">
        <v>34.840000000000003</v>
      </c>
      <c r="H558" s="201">
        <v>7956</v>
      </c>
      <c r="I558" s="201">
        <v>7697.7</v>
      </c>
      <c r="J558" s="201">
        <v>117.25</v>
      </c>
      <c r="K558" s="201">
        <v>141.05000000000001</v>
      </c>
      <c r="L558" s="357">
        <v>12.29447397700581</v>
      </c>
      <c r="M558" s="357">
        <v>13.05</v>
      </c>
      <c r="N558" s="357">
        <v>5.225044563279857</v>
      </c>
      <c r="O558" s="357">
        <v>4.0485074626865671</v>
      </c>
      <c r="P558" s="202"/>
      <c r="Q558" s="202"/>
      <c r="R558" s="202">
        <v>8</v>
      </c>
    </row>
    <row r="559" spans="1:18" ht="24">
      <c r="A559" s="198">
        <v>58.31</v>
      </c>
      <c r="B559" s="191" t="s">
        <v>937</v>
      </c>
      <c r="C559" s="199" t="s">
        <v>938</v>
      </c>
      <c r="D559" s="200">
        <v>821</v>
      </c>
      <c r="E559" s="200">
        <v>720.13</v>
      </c>
      <c r="F559" s="200">
        <v>44.52</v>
      </c>
      <c r="G559" s="200">
        <v>56.35</v>
      </c>
      <c r="H559" s="201">
        <v>9859.92</v>
      </c>
      <c r="I559" s="201">
        <v>9398.0499999999993</v>
      </c>
      <c r="J559" s="201">
        <v>231.71</v>
      </c>
      <c r="K559" s="201">
        <v>230.16</v>
      </c>
      <c r="L559" s="357">
        <v>12.009646772228988</v>
      </c>
      <c r="M559" s="357">
        <v>13.05</v>
      </c>
      <c r="N559" s="357">
        <v>5.2046271338724166</v>
      </c>
      <c r="O559" s="357">
        <v>4.0844720496894409</v>
      </c>
      <c r="P559" s="202"/>
      <c r="Q559" s="202"/>
      <c r="R559" s="202">
        <v>8</v>
      </c>
    </row>
    <row r="560" spans="1:18" ht="24">
      <c r="A560" s="198">
        <v>58.32</v>
      </c>
      <c r="B560" s="191" t="s">
        <v>939</v>
      </c>
      <c r="C560" s="199" t="s">
        <v>940</v>
      </c>
      <c r="D560" s="200">
        <v>622.02</v>
      </c>
      <c r="E560" s="200">
        <v>585.92999999999995</v>
      </c>
      <c r="F560" s="200">
        <v>22.44</v>
      </c>
      <c r="G560" s="200">
        <v>13.65</v>
      </c>
      <c r="H560" s="201">
        <v>7825.56</v>
      </c>
      <c r="I560" s="201">
        <v>7646.35</v>
      </c>
      <c r="J560" s="201">
        <v>117.25</v>
      </c>
      <c r="K560" s="201">
        <v>61.96</v>
      </c>
      <c r="L560" s="357">
        <v>12.580881643677053</v>
      </c>
      <c r="M560" s="357">
        <v>13.05</v>
      </c>
      <c r="N560" s="357">
        <v>5.225044563279857</v>
      </c>
      <c r="O560" s="357">
        <v>4.5391941391941391</v>
      </c>
      <c r="P560" s="202"/>
      <c r="Q560" s="202"/>
      <c r="R560" s="202">
        <v>8</v>
      </c>
    </row>
    <row r="561" spans="1:18" ht="24">
      <c r="A561" s="203">
        <v>58.33</v>
      </c>
      <c r="B561" s="204" t="s">
        <v>941</v>
      </c>
      <c r="C561" s="205" t="s">
        <v>942</v>
      </c>
      <c r="D561" s="206">
        <v>774.24</v>
      </c>
      <c r="E561" s="206">
        <v>705.15</v>
      </c>
      <c r="F561" s="206">
        <v>44.52</v>
      </c>
      <c r="G561" s="206">
        <v>24.57</v>
      </c>
      <c r="H561" s="207">
        <v>9545.4599999999991</v>
      </c>
      <c r="I561" s="207">
        <v>9202.2199999999993</v>
      </c>
      <c r="J561" s="207">
        <v>231.71</v>
      </c>
      <c r="K561" s="207">
        <v>111.53</v>
      </c>
      <c r="L561" s="356">
        <v>12.328812771233725</v>
      </c>
      <c r="M561" s="356">
        <v>13.05</v>
      </c>
      <c r="N561" s="356">
        <v>5.2046271338724166</v>
      </c>
      <c r="O561" s="356">
        <v>4.5392755392755388</v>
      </c>
      <c r="P561" s="208"/>
      <c r="Q561" s="208"/>
      <c r="R561" s="208">
        <v>8</v>
      </c>
    </row>
    <row r="562" spans="1:18" ht="12.75">
      <c r="A562" s="428" t="s">
        <v>943</v>
      </c>
      <c r="B562" s="429"/>
      <c r="C562" s="429"/>
      <c r="D562" s="429"/>
      <c r="E562" s="429"/>
      <c r="F562" s="429"/>
      <c r="G562" s="429"/>
      <c r="H562" s="429"/>
      <c r="I562" s="429"/>
      <c r="J562" s="429"/>
      <c r="K562" s="429"/>
      <c r="L562" s="429"/>
      <c r="M562" s="429"/>
      <c r="N562" s="429"/>
      <c r="O562" s="429"/>
      <c r="P562" s="429"/>
      <c r="Q562" s="429"/>
      <c r="R562" s="429"/>
    </row>
    <row r="563" spans="1:18" ht="24">
      <c r="A563" s="203">
        <v>58.34</v>
      </c>
      <c r="B563" s="204" t="s">
        <v>944</v>
      </c>
      <c r="C563" s="205" t="s">
        <v>945</v>
      </c>
      <c r="D563" s="206">
        <v>73.3</v>
      </c>
      <c r="E563" s="206">
        <v>26.75</v>
      </c>
      <c r="F563" s="206"/>
      <c r="G563" s="206">
        <v>46.55</v>
      </c>
      <c r="H563" s="207">
        <v>507.2</v>
      </c>
      <c r="I563" s="207">
        <v>349.08</v>
      </c>
      <c r="J563" s="207"/>
      <c r="K563" s="207">
        <v>158.12</v>
      </c>
      <c r="L563" s="356">
        <v>6.9195088676671217</v>
      </c>
      <c r="M563" s="356">
        <v>13.05</v>
      </c>
      <c r="N563" s="356" t="s">
        <v>135</v>
      </c>
      <c r="O563" s="356">
        <v>3.3967776584317941</v>
      </c>
      <c r="P563" s="208"/>
      <c r="Q563" s="208"/>
      <c r="R563" s="208">
        <v>9</v>
      </c>
    </row>
    <row r="564" spans="1:18" ht="12.75">
      <c r="A564" s="428" t="s">
        <v>946</v>
      </c>
      <c r="B564" s="429"/>
      <c r="C564" s="429"/>
      <c r="D564" s="429"/>
      <c r="E564" s="429"/>
      <c r="F564" s="429"/>
      <c r="G564" s="429"/>
      <c r="H564" s="429"/>
      <c r="I564" s="429"/>
      <c r="J564" s="429"/>
      <c r="K564" s="429"/>
      <c r="L564" s="429"/>
      <c r="M564" s="429"/>
      <c r="N564" s="429"/>
      <c r="O564" s="429"/>
      <c r="P564" s="429"/>
      <c r="Q564" s="429"/>
      <c r="R564" s="429"/>
    </row>
    <row r="565" spans="1:18" ht="24">
      <c r="A565" s="198">
        <v>58.35</v>
      </c>
      <c r="B565" s="191" t="s">
        <v>947</v>
      </c>
      <c r="C565" s="199" t="s">
        <v>948</v>
      </c>
      <c r="D565" s="200">
        <v>7744.35</v>
      </c>
      <c r="E565" s="200">
        <v>374.99</v>
      </c>
      <c r="F565" s="200">
        <v>13.64</v>
      </c>
      <c r="G565" s="200">
        <v>7355.72</v>
      </c>
      <c r="H565" s="201">
        <v>33685.22</v>
      </c>
      <c r="I565" s="201">
        <v>4893.66</v>
      </c>
      <c r="J565" s="201">
        <v>68.98</v>
      </c>
      <c r="K565" s="201">
        <v>28722.58</v>
      </c>
      <c r="L565" s="357">
        <v>4.3496510359165068</v>
      </c>
      <c r="M565" s="357">
        <v>13.05</v>
      </c>
      <c r="N565" s="357">
        <v>5.0571847507331382</v>
      </c>
      <c r="O565" s="357">
        <v>3.9047951798056482</v>
      </c>
      <c r="P565" s="202"/>
      <c r="Q565" s="202"/>
      <c r="R565" s="202">
        <v>10</v>
      </c>
    </row>
    <row r="566" spans="1:18" ht="24">
      <c r="A566" s="198">
        <v>58.36</v>
      </c>
      <c r="B566" s="191" t="s">
        <v>949</v>
      </c>
      <c r="C566" s="199" t="s">
        <v>950</v>
      </c>
      <c r="D566" s="200">
        <v>8266.94</v>
      </c>
      <c r="E566" s="200">
        <v>902.83</v>
      </c>
      <c r="F566" s="200">
        <v>8.39</v>
      </c>
      <c r="G566" s="200">
        <v>7355.72</v>
      </c>
      <c r="H566" s="201">
        <v>40547.06</v>
      </c>
      <c r="I566" s="201">
        <v>11782.03</v>
      </c>
      <c r="J566" s="201">
        <v>42.45</v>
      </c>
      <c r="K566" s="201">
        <v>28722.58</v>
      </c>
      <c r="L566" s="357">
        <v>4.9047241179928722</v>
      </c>
      <c r="M566" s="357">
        <v>13.05</v>
      </c>
      <c r="N566" s="357">
        <v>5.059594755661502</v>
      </c>
      <c r="O566" s="357">
        <v>3.9047951798056482</v>
      </c>
      <c r="P566" s="202"/>
      <c r="Q566" s="202"/>
      <c r="R566" s="202">
        <v>10</v>
      </c>
    </row>
    <row r="567" spans="1:18" ht="24">
      <c r="A567" s="198">
        <v>58.37</v>
      </c>
      <c r="B567" s="191" t="s">
        <v>951</v>
      </c>
      <c r="C567" s="199" t="s">
        <v>952</v>
      </c>
      <c r="D567" s="200">
        <v>4615.5600000000004</v>
      </c>
      <c r="E567" s="200">
        <v>651.14</v>
      </c>
      <c r="F567" s="200">
        <v>8.39</v>
      </c>
      <c r="G567" s="200">
        <v>3956.03</v>
      </c>
      <c r="H567" s="201">
        <v>26191.32</v>
      </c>
      <c r="I567" s="201">
        <v>8497.42</v>
      </c>
      <c r="J567" s="201">
        <v>42.45</v>
      </c>
      <c r="K567" s="201">
        <v>17651.45</v>
      </c>
      <c r="L567" s="357">
        <v>5.6745703663260789</v>
      </c>
      <c r="M567" s="357">
        <v>13.05</v>
      </c>
      <c r="N567" s="357">
        <v>5.059594755661502</v>
      </c>
      <c r="O567" s="357">
        <v>4.4619100461826626</v>
      </c>
      <c r="P567" s="202"/>
      <c r="Q567" s="202"/>
      <c r="R567" s="202">
        <v>10</v>
      </c>
    </row>
    <row r="568" spans="1:18">
      <c r="A568" s="198">
        <v>58.38</v>
      </c>
      <c r="B568" s="191" t="s">
        <v>953</v>
      </c>
      <c r="C568" s="199" t="s">
        <v>954</v>
      </c>
      <c r="D568" s="200">
        <v>5330.9</v>
      </c>
      <c r="E568" s="200">
        <v>1366.48</v>
      </c>
      <c r="F568" s="200">
        <v>8.39</v>
      </c>
      <c r="G568" s="200">
        <v>3956.03</v>
      </c>
      <c r="H568" s="201">
        <v>35526.519999999997</v>
      </c>
      <c r="I568" s="201">
        <v>17832.62</v>
      </c>
      <c r="J568" s="201">
        <v>42.45</v>
      </c>
      <c r="K568" s="201">
        <v>17651.45</v>
      </c>
      <c r="L568" s="357">
        <v>6.6642630700256991</v>
      </c>
      <c r="M568" s="357">
        <v>13.05</v>
      </c>
      <c r="N568" s="357">
        <v>5.059594755661502</v>
      </c>
      <c r="O568" s="357">
        <v>4.4619100461826626</v>
      </c>
      <c r="P568" s="202"/>
      <c r="Q568" s="202"/>
      <c r="R568" s="202">
        <v>10</v>
      </c>
    </row>
    <row r="569" spans="1:18">
      <c r="A569" s="198">
        <v>58.39</v>
      </c>
      <c r="B569" s="191" t="s">
        <v>955</v>
      </c>
      <c r="C569" s="199" t="s">
        <v>956</v>
      </c>
      <c r="D569" s="200">
        <v>4631.51</v>
      </c>
      <c r="E569" s="200">
        <v>541.09</v>
      </c>
      <c r="F569" s="200">
        <v>8.39</v>
      </c>
      <c r="G569" s="200">
        <v>4082.03</v>
      </c>
      <c r="H569" s="201">
        <v>24213.14</v>
      </c>
      <c r="I569" s="201">
        <v>7061.24</v>
      </c>
      <c r="J569" s="201">
        <v>42.45</v>
      </c>
      <c r="K569" s="201">
        <v>17109.45</v>
      </c>
      <c r="L569" s="357">
        <v>5.2279148700963614</v>
      </c>
      <c r="M569" s="357">
        <v>13.05</v>
      </c>
      <c r="N569" s="357">
        <v>5.059594755661502</v>
      </c>
      <c r="O569" s="357">
        <v>4.1914072165074732</v>
      </c>
      <c r="P569" s="202"/>
      <c r="Q569" s="202"/>
      <c r="R569" s="202">
        <v>10</v>
      </c>
    </row>
    <row r="570" spans="1:18" ht="24">
      <c r="A570" s="198">
        <v>58.4</v>
      </c>
      <c r="B570" s="191" t="s">
        <v>957</v>
      </c>
      <c r="C570" s="199" t="s">
        <v>958</v>
      </c>
      <c r="D570" s="200">
        <v>8275.51</v>
      </c>
      <c r="E570" s="200">
        <v>541.09</v>
      </c>
      <c r="F570" s="200">
        <v>8.39</v>
      </c>
      <c r="G570" s="200">
        <v>7726.03</v>
      </c>
      <c r="H570" s="201">
        <v>24845.14</v>
      </c>
      <c r="I570" s="201">
        <v>7061.24</v>
      </c>
      <c r="J570" s="201">
        <v>42.45</v>
      </c>
      <c r="K570" s="201">
        <v>17741.45</v>
      </c>
      <c r="L570" s="357">
        <v>3.0022488040012032</v>
      </c>
      <c r="M570" s="357">
        <v>13.05</v>
      </c>
      <c r="N570" s="357">
        <v>5.059594755661502</v>
      </c>
      <c r="O570" s="357">
        <v>2.2963216554944781</v>
      </c>
      <c r="P570" s="202"/>
      <c r="Q570" s="202"/>
      <c r="R570" s="202">
        <v>10</v>
      </c>
    </row>
    <row r="571" spans="1:18">
      <c r="A571" s="203">
        <v>58.41</v>
      </c>
      <c r="B571" s="204" t="s">
        <v>959</v>
      </c>
      <c r="C571" s="205" t="s">
        <v>960</v>
      </c>
      <c r="D571" s="206">
        <v>8954.16</v>
      </c>
      <c r="E571" s="206">
        <v>1219.74</v>
      </c>
      <c r="F571" s="206">
        <v>8.39</v>
      </c>
      <c r="G571" s="206">
        <v>7726.03</v>
      </c>
      <c r="H571" s="207">
        <v>33701.61</v>
      </c>
      <c r="I571" s="207">
        <v>15917.71</v>
      </c>
      <c r="J571" s="207">
        <v>42.45</v>
      </c>
      <c r="K571" s="207">
        <v>17741.45</v>
      </c>
      <c r="L571" s="356">
        <v>3.7637935886783351</v>
      </c>
      <c r="M571" s="356">
        <v>13.05</v>
      </c>
      <c r="N571" s="356">
        <v>5.059594755661502</v>
      </c>
      <c r="O571" s="356">
        <v>2.2963216554944781</v>
      </c>
      <c r="P571" s="208"/>
      <c r="Q571" s="208"/>
      <c r="R571" s="208">
        <v>10</v>
      </c>
    </row>
    <row r="572" spans="1:18" ht="12.75">
      <c r="A572" s="428" t="s">
        <v>961</v>
      </c>
      <c r="B572" s="429"/>
      <c r="C572" s="429"/>
      <c r="D572" s="429"/>
      <c r="E572" s="429"/>
      <c r="F572" s="429"/>
      <c r="G572" s="429"/>
      <c r="H572" s="429"/>
      <c r="I572" s="429"/>
      <c r="J572" s="429"/>
      <c r="K572" s="429"/>
      <c r="L572" s="429"/>
      <c r="M572" s="429"/>
      <c r="N572" s="429"/>
      <c r="O572" s="429"/>
      <c r="P572" s="429"/>
      <c r="Q572" s="429"/>
      <c r="R572" s="429"/>
    </row>
    <row r="573" spans="1:18">
      <c r="A573" s="203">
        <v>58.42</v>
      </c>
      <c r="B573" s="204" t="s">
        <v>962</v>
      </c>
      <c r="C573" s="205" t="s">
        <v>963</v>
      </c>
      <c r="D573" s="206">
        <v>111.28</v>
      </c>
      <c r="E573" s="206">
        <v>48.81</v>
      </c>
      <c r="F573" s="206">
        <v>3.61</v>
      </c>
      <c r="G573" s="206">
        <v>58.86</v>
      </c>
      <c r="H573" s="207">
        <v>943.5</v>
      </c>
      <c r="I573" s="207">
        <v>637.04</v>
      </c>
      <c r="J573" s="207">
        <v>25.14</v>
      </c>
      <c r="K573" s="207">
        <v>281.32</v>
      </c>
      <c r="L573" s="356">
        <v>8.4786125089863411</v>
      </c>
      <c r="M573" s="356">
        <v>13.05</v>
      </c>
      <c r="N573" s="356">
        <v>6.9639889196675906</v>
      </c>
      <c r="O573" s="356">
        <v>4.7794767244308529</v>
      </c>
      <c r="P573" s="208"/>
      <c r="Q573" s="208"/>
      <c r="R573" s="208">
        <v>11</v>
      </c>
    </row>
    <row r="574" spans="1:18" ht="12.75">
      <c r="A574" s="428" t="s">
        <v>964</v>
      </c>
      <c r="B574" s="429"/>
      <c r="C574" s="429"/>
      <c r="D574" s="429"/>
      <c r="E574" s="429"/>
      <c r="F574" s="429"/>
      <c r="G574" s="429"/>
      <c r="H574" s="429"/>
      <c r="I574" s="429"/>
      <c r="J574" s="429"/>
      <c r="K574" s="429"/>
      <c r="L574" s="429"/>
      <c r="M574" s="429"/>
      <c r="N574" s="429"/>
      <c r="O574" s="429"/>
      <c r="P574" s="429"/>
      <c r="Q574" s="429"/>
      <c r="R574" s="429"/>
    </row>
    <row r="575" spans="1:18">
      <c r="A575" s="198">
        <v>58.43</v>
      </c>
      <c r="B575" s="191" t="s">
        <v>965</v>
      </c>
      <c r="C575" s="199" t="s">
        <v>966</v>
      </c>
      <c r="D575" s="200">
        <v>2840.51</v>
      </c>
      <c r="E575" s="200">
        <v>302.07</v>
      </c>
      <c r="F575" s="200">
        <v>48.63</v>
      </c>
      <c r="G575" s="200">
        <v>2489.81</v>
      </c>
      <c r="H575" s="201">
        <v>15983.04</v>
      </c>
      <c r="I575" s="201">
        <v>3941.83</v>
      </c>
      <c r="J575" s="201">
        <v>286.77999999999997</v>
      </c>
      <c r="K575" s="201">
        <v>11754.43</v>
      </c>
      <c r="L575" s="357">
        <v>5.6268205357488617</v>
      </c>
      <c r="M575" s="357">
        <v>13.05</v>
      </c>
      <c r="N575" s="357">
        <v>5.8971828089656579</v>
      </c>
      <c r="O575" s="357">
        <v>4.7210148565553194</v>
      </c>
      <c r="P575" s="202"/>
      <c r="Q575" s="202"/>
      <c r="R575" s="202">
        <v>12</v>
      </c>
    </row>
    <row r="576" spans="1:18" ht="24">
      <c r="A576" s="198">
        <v>58.44</v>
      </c>
      <c r="B576" s="191" t="s">
        <v>967</v>
      </c>
      <c r="C576" s="199" t="s">
        <v>968</v>
      </c>
      <c r="D576" s="200">
        <v>2012.96</v>
      </c>
      <c r="E576" s="200">
        <v>202.61</v>
      </c>
      <c r="F576" s="200">
        <v>31.65</v>
      </c>
      <c r="G576" s="200">
        <v>1778.7</v>
      </c>
      <c r="H576" s="201">
        <v>11225.43</v>
      </c>
      <c r="I576" s="201">
        <v>2643.98</v>
      </c>
      <c r="J576" s="201">
        <v>189.75</v>
      </c>
      <c r="K576" s="201">
        <v>8391.7000000000007</v>
      </c>
      <c r="L576" s="357">
        <v>5.5765787695731657</v>
      </c>
      <c r="M576" s="357">
        <v>13.05</v>
      </c>
      <c r="N576" s="357">
        <v>5.9952606635071088</v>
      </c>
      <c r="O576" s="357">
        <v>4.7178838477539777</v>
      </c>
      <c r="P576" s="202"/>
      <c r="Q576" s="202"/>
      <c r="R576" s="202">
        <v>12</v>
      </c>
    </row>
    <row r="577" spans="1:18" ht="24">
      <c r="A577" s="198">
        <v>58.45</v>
      </c>
      <c r="B577" s="191" t="s">
        <v>969</v>
      </c>
      <c r="C577" s="199" t="s">
        <v>970</v>
      </c>
      <c r="D577" s="200">
        <v>1517.01</v>
      </c>
      <c r="E577" s="200">
        <v>178.41</v>
      </c>
      <c r="F577" s="200">
        <v>17.45</v>
      </c>
      <c r="G577" s="200">
        <v>1321.15</v>
      </c>
      <c r="H577" s="201">
        <v>7692.27</v>
      </c>
      <c r="I577" s="201">
        <v>2328.19</v>
      </c>
      <c r="J577" s="201">
        <v>105.87</v>
      </c>
      <c r="K577" s="201">
        <v>5258.21</v>
      </c>
      <c r="L577" s="357">
        <v>5.070678505744854</v>
      </c>
      <c r="M577" s="357">
        <v>13.05</v>
      </c>
      <c r="N577" s="357">
        <v>6.0670487106017195</v>
      </c>
      <c r="O577" s="357">
        <v>3.9800249782386556</v>
      </c>
      <c r="P577" s="202"/>
      <c r="Q577" s="202"/>
      <c r="R577" s="202">
        <v>12</v>
      </c>
    </row>
    <row r="578" spans="1:18" ht="24">
      <c r="A578" s="203">
        <v>58.46</v>
      </c>
      <c r="B578" s="204" t="s">
        <v>971</v>
      </c>
      <c r="C578" s="205" t="s">
        <v>972</v>
      </c>
      <c r="D578" s="206">
        <v>1554.64</v>
      </c>
      <c r="E578" s="206">
        <v>174.71</v>
      </c>
      <c r="F578" s="206">
        <v>11.32</v>
      </c>
      <c r="G578" s="206">
        <v>1368.61</v>
      </c>
      <c r="H578" s="207">
        <v>7184.47</v>
      </c>
      <c r="I578" s="207">
        <v>2279.89</v>
      </c>
      <c r="J578" s="207">
        <v>64.680000000000007</v>
      </c>
      <c r="K578" s="207">
        <v>4839.8999999999996</v>
      </c>
      <c r="L578" s="356">
        <v>4.6213078268923997</v>
      </c>
      <c r="M578" s="356">
        <v>13.05</v>
      </c>
      <c r="N578" s="356">
        <v>5.7137809187279158</v>
      </c>
      <c r="O578" s="356">
        <v>3.5363617100561884</v>
      </c>
      <c r="P578" s="208"/>
      <c r="Q578" s="208"/>
      <c r="R578" s="208">
        <v>12</v>
      </c>
    </row>
    <row r="579" spans="1:18" ht="12.75">
      <c r="A579" s="428" t="s">
        <v>973</v>
      </c>
      <c r="B579" s="429"/>
      <c r="C579" s="429"/>
      <c r="D579" s="429"/>
      <c r="E579" s="429"/>
      <c r="F579" s="429"/>
      <c r="G579" s="429"/>
      <c r="H579" s="429"/>
      <c r="I579" s="429"/>
      <c r="J579" s="429"/>
      <c r="K579" s="429"/>
      <c r="L579" s="429"/>
      <c r="M579" s="429"/>
      <c r="N579" s="429"/>
      <c r="O579" s="429"/>
      <c r="P579" s="429"/>
      <c r="Q579" s="429"/>
      <c r="R579" s="429"/>
    </row>
    <row r="580" spans="1:18" ht="24">
      <c r="A580" s="198">
        <v>58.47</v>
      </c>
      <c r="B580" s="191" t="s">
        <v>974</v>
      </c>
      <c r="C580" s="199" t="s">
        <v>975</v>
      </c>
      <c r="D580" s="200">
        <v>1016.96</v>
      </c>
      <c r="E580" s="200">
        <v>43.3</v>
      </c>
      <c r="F580" s="200">
        <v>6.29</v>
      </c>
      <c r="G580" s="200">
        <v>967.37</v>
      </c>
      <c r="H580" s="201">
        <v>4387.28</v>
      </c>
      <c r="I580" s="201">
        <v>565.09</v>
      </c>
      <c r="J580" s="201">
        <v>31.84</v>
      </c>
      <c r="K580" s="201">
        <v>3790.35</v>
      </c>
      <c r="L580" s="357">
        <v>4.3141126494650717</v>
      </c>
      <c r="M580" s="357">
        <v>13.05</v>
      </c>
      <c r="N580" s="357">
        <v>5.0620031796502385</v>
      </c>
      <c r="O580" s="357">
        <v>3.9182008952107257</v>
      </c>
      <c r="P580" s="202"/>
      <c r="Q580" s="202"/>
      <c r="R580" s="202">
        <v>13</v>
      </c>
    </row>
    <row r="581" spans="1:18" ht="24">
      <c r="A581" s="203">
        <v>58.48</v>
      </c>
      <c r="B581" s="204" t="s">
        <v>976</v>
      </c>
      <c r="C581" s="205" t="s">
        <v>977</v>
      </c>
      <c r="D581" s="206">
        <v>1146.4000000000001</v>
      </c>
      <c r="E581" s="206">
        <v>81.59</v>
      </c>
      <c r="F581" s="206">
        <v>7.34</v>
      </c>
      <c r="G581" s="206">
        <v>1057.47</v>
      </c>
      <c r="H581" s="207">
        <v>5418.13</v>
      </c>
      <c r="I581" s="207">
        <v>1064.81</v>
      </c>
      <c r="J581" s="207">
        <v>37.15</v>
      </c>
      <c r="K581" s="207">
        <v>4316.17</v>
      </c>
      <c r="L581" s="356">
        <v>4.7262124912770407</v>
      </c>
      <c r="M581" s="356">
        <v>13.05</v>
      </c>
      <c r="N581" s="356">
        <v>5.061307901907357</v>
      </c>
      <c r="O581" s="356">
        <v>4.0816004236526808</v>
      </c>
      <c r="P581" s="208"/>
      <c r="Q581" s="208"/>
      <c r="R581" s="208">
        <v>13</v>
      </c>
    </row>
    <row r="582" spans="1:18" ht="12.75">
      <c r="A582" s="428" t="s">
        <v>978</v>
      </c>
      <c r="B582" s="429"/>
      <c r="C582" s="429"/>
      <c r="D582" s="429"/>
      <c r="E582" s="429"/>
      <c r="F582" s="429"/>
      <c r="G582" s="429"/>
      <c r="H582" s="429"/>
      <c r="I582" s="429"/>
      <c r="J582" s="429"/>
      <c r="K582" s="429"/>
      <c r="L582" s="429"/>
      <c r="M582" s="429"/>
      <c r="N582" s="429"/>
      <c r="O582" s="429"/>
      <c r="P582" s="429"/>
      <c r="Q582" s="429"/>
      <c r="R582" s="429"/>
    </row>
    <row r="583" spans="1:18" ht="36">
      <c r="A583" s="198">
        <v>58.49</v>
      </c>
      <c r="B583" s="191" t="s">
        <v>979</v>
      </c>
      <c r="C583" s="199" t="s">
        <v>980</v>
      </c>
      <c r="D583" s="200">
        <v>2509.5700000000002</v>
      </c>
      <c r="E583" s="200">
        <v>1609.31</v>
      </c>
      <c r="F583" s="200">
        <v>142.75</v>
      </c>
      <c r="G583" s="200">
        <v>757.51</v>
      </c>
      <c r="H583" s="201">
        <v>25877.58</v>
      </c>
      <c r="I583" s="201">
        <v>21001.15</v>
      </c>
      <c r="J583" s="201">
        <v>924.21</v>
      </c>
      <c r="K583" s="201">
        <v>3952.22</v>
      </c>
      <c r="L583" s="357">
        <v>10.311559350805117</v>
      </c>
      <c r="M583" s="357">
        <v>13.05</v>
      </c>
      <c r="N583" s="357">
        <v>6.4743257443082314</v>
      </c>
      <c r="O583" s="357">
        <v>5.2173832688677377</v>
      </c>
      <c r="P583" s="202"/>
      <c r="Q583" s="202"/>
      <c r="R583" s="202">
        <v>14</v>
      </c>
    </row>
    <row r="584" spans="1:18" ht="24">
      <c r="A584" s="198">
        <v>58.5</v>
      </c>
      <c r="B584" s="191" t="s">
        <v>981</v>
      </c>
      <c r="C584" s="199" t="s">
        <v>982</v>
      </c>
      <c r="D584" s="200">
        <v>2024.38</v>
      </c>
      <c r="E584" s="200">
        <v>1506.33</v>
      </c>
      <c r="F584" s="200">
        <v>134.84</v>
      </c>
      <c r="G584" s="200">
        <v>383.21</v>
      </c>
      <c r="H584" s="201">
        <v>22588.22</v>
      </c>
      <c r="I584" s="201">
        <v>19657.28</v>
      </c>
      <c r="J584" s="201">
        <v>872.17</v>
      </c>
      <c r="K584" s="201">
        <v>2058.77</v>
      </c>
      <c r="L584" s="357">
        <v>11.158092848180678</v>
      </c>
      <c r="M584" s="357">
        <v>13.05</v>
      </c>
      <c r="N584" s="357">
        <v>6.4681845149807176</v>
      </c>
      <c r="O584" s="357">
        <v>5.3724328697059054</v>
      </c>
      <c r="P584" s="202"/>
      <c r="Q584" s="202"/>
      <c r="R584" s="202">
        <v>14</v>
      </c>
    </row>
    <row r="585" spans="1:18" ht="36">
      <c r="A585" s="198">
        <v>58.51</v>
      </c>
      <c r="B585" s="191" t="s">
        <v>983</v>
      </c>
      <c r="C585" s="199" t="s">
        <v>984</v>
      </c>
      <c r="D585" s="200">
        <v>2562.09</v>
      </c>
      <c r="E585" s="200">
        <v>1657.54</v>
      </c>
      <c r="F585" s="200">
        <v>147.04</v>
      </c>
      <c r="G585" s="200">
        <v>757.51</v>
      </c>
      <c r="H585" s="201">
        <v>26534.37</v>
      </c>
      <c r="I585" s="201">
        <v>21630.65</v>
      </c>
      <c r="J585" s="201">
        <v>951.5</v>
      </c>
      <c r="K585" s="201">
        <v>3952.22</v>
      </c>
      <c r="L585" s="357">
        <v>10.356533142863833</v>
      </c>
      <c r="M585" s="357">
        <v>13.05</v>
      </c>
      <c r="N585" s="357">
        <v>6.4710282916213275</v>
      </c>
      <c r="O585" s="357">
        <v>5.2173832688677377</v>
      </c>
      <c r="P585" s="202"/>
      <c r="Q585" s="202"/>
      <c r="R585" s="202">
        <v>14</v>
      </c>
    </row>
    <row r="586" spans="1:18" ht="36">
      <c r="A586" s="198">
        <v>58.52</v>
      </c>
      <c r="B586" s="191" t="s">
        <v>985</v>
      </c>
      <c r="C586" s="199" t="s">
        <v>986</v>
      </c>
      <c r="D586" s="200">
        <v>2072.7199999999998</v>
      </c>
      <c r="E586" s="200">
        <v>1551.42</v>
      </c>
      <c r="F586" s="200">
        <v>138.09</v>
      </c>
      <c r="G586" s="200">
        <v>383.21</v>
      </c>
      <c r="H586" s="201">
        <v>23198.68</v>
      </c>
      <c r="I586" s="201">
        <v>20245.759999999998</v>
      </c>
      <c r="J586" s="201">
        <v>894.15</v>
      </c>
      <c r="K586" s="201">
        <v>2058.77</v>
      </c>
      <c r="L586" s="357">
        <v>11.192384885561003</v>
      </c>
      <c r="M586" s="357">
        <v>13.05</v>
      </c>
      <c r="N586" s="357">
        <v>6.4751249185313924</v>
      </c>
      <c r="O586" s="357">
        <v>5.3724328697059054</v>
      </c>
      <c r="P586" s="202"/>
      <c r="Q586" s="202"/>
      <c r="R586" s="202">
        <v>14</v>
      </c>
    </row>
    <row r="587" spans="1:18" ht="36">
      <c r="A587" s="198">
        <v>58.53</v>
      </c>
      <c r="B587" s="191" t="s">
        <v>987</v>
      </c>
      <c r="C587" s="199" t="s">
        <v>988</v>
      </c>
      <c r="D587" s="200">
        <v>2124.62</v>
      </c>
      <c r="E587" s="200">
        <v>1240.82</v>
      </c>
      <c r="F587" s="200">
        <v>142.75</v>
      </c>
      <c r="G587" s="200">
        <v>741.05</v>
      </c>
      <c r="H587" s="201">
        <v>20982.19</v>
      </c>
      <c r="I587" s="201">
        <v>16192.85</v>
      </c>
      <c r="J587" s="201">
        <v>924.21</v>
      </c>
      <c r="K587" s="201">
        <v>3865.13</v>
      </c>
      <c r="L587" s="357">
        <v>9.8757377789910663</v>
      </c>
      <c r="M587" s="357">
        <v>13.05</v>
      </c>
      <c r="N587" s="357">
        <v>6.4743257443082314</v>
      </c>
      <c r="O587" s="357">
        <v>5.215747925241212</v>
      </c>
      <c r="P587" s="202"/>
      <c r="Q587" s="202"/>
      <c r="R587" s="202">
        <v>14</v>
      </c>
    </row>
    <row r="588" spans="1:18" ht="24">
      <c r="A588" s="203">
        <v>58.54</v>
      </c>
      <c r="B588" s="204" t="s">
        <v>989</v>
      </c>
      <c r="C588" s="205" t="s">
        <v>990</v>
      </c>
      <c r="D588" s="206">
        <v>1764.62</v>
      </c>
      <c r="E588" s="206">
        <v>1161.3699999999999</v>
      </c>
      <c r="F588" s="206">
        <v>134.84</v>
      </c>
      <c r="G588" s="206">
        <v>468.41</v>
      </c>
      <c r="H588" s="207">
        <v>18553.87</v>
      </c>
      <c r="I588" s="207">
        <v>15155.94</v>
      </c>
      <c r="J588" s="207">
        <v>872.17</v>
      </c>
      <c r="K588" s="207">
        <v>2525.7600000000002</v>
      </c>
      <c r="L588" s="356">
        <v>10.514371366073149</v>
      </c>
      <c r="M588" s="356">
        <v>13.05</v>
      </c>
      <c r="N588" s="356">
        <v>6.4681845149807176</v>
      </c>
      <c r="O588" s="356">
        <v>5.3921991417775024</v>
      </c>
      <c r="P588" s="208"/>
      <c r="Q588" s="208"/>
      <c r="R588" s="208">
        <v>14</v>
      </c>
    </row>
    <row r="589" spans="1:18" ht="12.75">
      <c r="A589" s="428" t="s">
        <v>991</v>
      </c>
      <c r="B589" s="429"/>
      <c r="C589" s="429"/>
      <c r="D589" s="429"/>
      <c r="E589" s="429"/>
      <c r="F589" s="429"/>
      <c r="G589" s="429"/>
      <c r="H589" s="429"/>
      <c r="I589" s="429"/>
      <c r="J589" s="429"/>
      <c r="K589" s="429"/>
      <c r="L589" s="429"/>
      <c r="M589" s="429"/>
      <c r="N589" s="429"/>
      <c r="O589" s="429"/>
      <c r="P589" s="429"/>
      <c r="Q589" s="429"/>
      <c r="R589" s="429"/>
    </row>
    <row r="590" spans="1:18" ht="24">
      <c r="A590" s="198">
        <v>58.55</v>
      </c>
      <c r="B590" s="191" t="s">
        <v>992</v>
      </c>
      <c r="C590" s="199" t="s">
        <v>993</v>
      </c>
      <c r="D590" s="200">
        <v>632.46</v>
      </c>
      <c r="E590" s="200">
        <v>623.33000000000004</v>
      </c>
      <c r="F590" s="200"/>
      <c r="G590" s="200">
        <v>9.1300000000000008</v>
      </c>
      <c r="H590" s="201">
        <v>8181.86</v>
      </c>
      <c r="I590" s="201">
        <v>8134.67</v>
      </c>
      <c r="J590" s="201"/>
      <c r="K590" s="201">
        <v>47.19</v>
      </c>
      <c r="L590" s="357">
        <v>12.936565158270877</v>
      </c>
      <c r="M590" s="357">
        <v>13.05</v>
      </c>
      <c r="N590" s="357" t="s">
        <v>135</v>
      </c>
      <c r="O590" s="357">
        <v>5.1686746987951802</v>
      </c>
      <c r="P590" s="202"/>
      <c r="Q590" s="202"/>
      <c r="R590" s="202">
        <v>15</v>
      </c>
    </row>
    <row r="591" spans="1:18">
      <c r="A591" s="203">
        <v>58.56</v>
      </c>
      <c r="B591" s="204" t="s">
        <v>994</v>
      </c>
      <c r="C591" s="205" t="s">
        <v>995</v>
      </c>
      <c r="D591" s="206">
        <v>1130.9100000000001</v>
      </c>
      <c r="E591" s="206">
        <v>1121.78</v>
      </c>
      <c r="F591" s="206"/>
      <c r="G591" s="206">
        <v>9.1300000000000008</v>
      </c>
      <c r="H591" s="207">
        <v>14686.91</v>
      </c>
      <c r="I591" s="207">
        <v>14639.72</v>
      </c>
      <c r="J591" s="207"/>
      <c r="K591" s="207">
        <v>47.19</v>
      </c>
      <c r="L591" s="356">
        <v>12.986807084560221</v>
      </c>
      <c r="M591" s="356">
        <v>13.05</v>
      </c>
      <c r="N591" s="356" t="s">
        <v>135</v>
      </c>
      <c r="O591" s="356">
        <v>5.1686746987951802</v>
      </c>
      <c r="P591" s="208"/>
      <c r="Q591" s="208"/>
      <c r="R591" s="208">
        <v>15</v>
      </c>
    </row>
    <row r="592" spans="1:18" ht="12.75">
      <c r="A592" s="428" t="s">
        <v>996</v>
      </c>
      <c r="B592" s="429"/>
      <c r="C592" s="429"/>
      <c r="D592" s="429"/>
      <c r="E592" s="429"/>
      <c r="F592" s="429"/>
      <c r="G592" s="429"/>
      <c r="H592" s="429"/>
      <c r="I592" s="429"/>
      <c r="J592" s="429"/>
      <c r="K592" s="429"/>
      <c r="L592" s="429"/>
      <c r="M592" s="429"/>
      <c r="N592" s="429"/>
      <c r="O592" s="429"/>
      <c r="P592" s="429"/>
      <c r="Q592" s="429"/>
      <c r="R592" s="429"/>
    </row>
    <row r="593" spans="1:18" ht="24">
      <c r="A593" s="198">
        <v>58.57</v>
      </c>
      <c r="B593" s="191" t="s">
        <v>997</v>
      </c>
      <c r="C593" s="199" t="s">
        <v>998</v>
      </c>
      <c r="D593" s="200">
        <v>765.77</v>
      </c>
      <c r="E593" s="200">
        <v>480.33</v>
      </c>
      <c r="F593" s="200">
        <v>33.729999999999997</v>
      </c>
      <c r="G593" s="200">
        <v>251.71</v>
      </c>
      <c r="H593" s="201">
        <v>8179.68</v>
      </c>
      <c r="I593" s="201">
        <v>6268.38</v>
      </c>
      <c r="J593" s="201">
        <v>263.56</v>
      </c>
      <c r="K593" s="201">
        <v>1647.74</v>
      </c>
      <c r="L593" s="357">
        <v>10.681640701516121</v>
      </c>
      <c r="M593" s="357">
        <v>13.05</v>
      </c>
      <c r="N593" s="357">
        <v>7.8138155944263277</v>
      </c>
      <c r="O593" s="357">
        <v>6.5461841007508639</v>
      </c>
      <c r="P593" s="202"/>
      <c r="Q593" s="202"/>
      <c r="R593" s="202">
        <v>16</v>
      </c>
    </row>
    <row r="594" spans="1:18" ht="24">
      <c r="A594" s="198">
        <v>58.58</v>
      </c>
      <c r="B594" s="191" t="s">
        <v>999</v>
      </c>
      <c r="C594" s="199" t="s">
        <v>1000</v>
      </c>
      <c r="D594" s="200">
        <v>1453.46</v>
      </c>
      <c r="E594" s="200">
        <v>796.67</v>
      </c>
      <c r="F594" s="200">
        <v>71.56</v>
      </c>
      <c r="G594" s="200">
        <v>585.23</v>
      </c>
      <c r="H594" s="201">
        <v>14787.2</v>
      </c>
      <c r="I594" s="201">
        <v>10396.67</v>
      </c>
      <c r="J594" s="201">
        <v>559.54</v>
      </c>
      <c r="K594" s="201">
        <v>3830.99</v>
      </c>
      <c r="L594" s="357">
        <v>10.173792192423596</v>
      </c>
      <c r="M594" s="357">
        <v>13.05</v>
      </c>
      <c r="N594" s="357">
        <v>7.8191727221911673</v>
      </c>
      <c r="O594" s="357">
        <v>6.5461271636792366</v>
      </c>
      <c r="P594" s="202"/>
      <c r="Q594" s="202"/>
      <c r="R594" s="202">
        <v>16</v>
      </c>
    </row>
    <row r="595" spans="1:18" ht="24">
      <c r="A595" s="198">
        <v>58.59</v>
      </c>
      <c r="B595" s="191" t="s">
        <v>1001</v>
      </c>
      <c r="C595" s="199" t="s">
        <v>1002</v>
      </c>
      <c r="D595" s="200">
        <v>2772.84</v>
      </c>
      <c r="E595" s="200">
        <v>1374.34</v>
      </c>
      <c r="F595" s="200">
        <v>145.28</v>
      </c>
      <c r="G595" s="200">
        <v>1253.22</v>
      </c>
      <c r="H595" s="201">
        <v>27275</v>
      </c>
      <c r="I595" s="201">
        <v>17935.29</v>
      </c>
      <c r="J595" s="201">
        <v>1135.79</v>
      </c>
      <c r="K595" s="201">
        <v>8203.92</v>
      </c>
      <c r="L595" s="357">
        <v>9.8364853363338671</v>
      </c>
      <c r="M595" s="357">
        <v>13.05</v>
      </c>
      <c r="N595" s="357">
        <v>7.817937775330396</v>
      </c>
      <c r="O595" s="357">
        <v>6.5462728012639442</v>
      </c>
      <c r="P595" s="202"/>
      <c r="Q595" s="202"/>
      <c r="R595" s="202">
        <v>16</v>
      </c>
    </row>
    <row r="596" spans="1:18" ht="24">
      <c r="A596" s="198">
        <v>58.6</v>
      </c>
      <c r="B596" s="191" t="s">
        <v>1003</v>
      </c>
      <c r="C596" s="199" t="s">
        <v>1004</v>
      </c>
      <c r="D596" s="200">
        <v>722.4</v>
      </c>
      <c r="E596" s="200">
        <v>243.49</v>
      </c>
      <c r="F596" s="200">
        <v>16.989999999999998</v>
      </c>
      <c r="G596" s="200">
        <v>461.92</v>
      </c>
      <c r="H596" s="201">
        <v>5691.12</v>
      </c>
      <c r="I596" s="201">
        <v>3177.47</v>
      </c>
      <c r="J596" s="201">
        <v>132.28</v>
      </c>
      <c r="K596" s="201">
        <v>2381.37</v>
      </c>
      <c r="L596" s="357">
        <v>7.8780730897009965</v>
      </c>
      <c r="M596" s="357">
        <v>13.05</v>
      </c>
      <c r="N596" s="357">
        <v>7.7857563272513248</v>
      </c>
      <c r="O596" s="357">
        <v>5.1553732248008313</v>
      </c>
      <c r="P596" s="202"/>
      <c r="Q596" s="202"/>
      <c r="R596" s="202">
        <v>16</v>
      </c>
    </row>
    <row r="597" spans="1:18" ht="24">
      <c r="A597" s="198">
        <v>58.61</v>
      </c>
      <c r="B597" s="191" t="s">
        <v>1005</v>
      </c>
      <c r="C597" s="199" t="s">
        <v>1006</v>
      </c>
      <c r="D597" s="200">
        <v>1547.35</v>
      </c>
      <c r="E597" s="200">
        <v>432.86</v>
      </c>
      <c r="F597" s="200">
        <v>40.18</v>
      </c>
      <c r="G597" s="200">
        <v>1074.31</v>
      </c>
      <c r="H597" s="201">
        <v>11500.85</v>
      </c>
      <c r="I597" s="201">
        <v>5648.83</v>
      </c>
      <c r="J597" s="201">
        <v>313.47000000000003</v>
      </c>
      <c r="K597" s="201">
        <v>5538.55</v>
      </c>
      <c r="L597" s="357">
        <v>7.4326105923029706</v>
      </c>
      <c r="M597" s="357">
        <v>13.05</v>
      </c>
      <c r="N597" s="357">
        <v>7.8016426082628181</v>
      </c>
      <c r="O597" s="357">
        <v>5.1554486135286837</v>
      </c>
      <c r="P597" s="202"/>
      <c r="Q597" s="202"/>
      <c r="R597" s="202">
        <v>16</v>
      </c>
    </row>
    <row r="598" spans="1:18" ht="24">
      <c r="A598" s="203">
        <v>58.62</v>
      </c>
      <c r="B598" s="204" t="s">
        <v>1007</v>
      </c>
      <c r="C598" s="205" t="s">
        <v>1008</v>
      </c>
      <c r="D598" s="206">
        <v>3136.41</v>
      </c>
      <c r="E598" s="206">
        <v>764.53</v>
      </c>
      <c r="F598" s="206">
        <v>88.61</v>
      </c>
      <c r="G598" s="206">
        <v>2283.27</v>
      </c>
      <c r="H598" s="207">
        <v>22441.07</v>
      </c>
      <c r="I598" s="207">
        <v>9976.99</v>
      </c>
      <c r="J598" s="207">
        <v>692.06</v>
      </c>
      <c r="K598" s="207">
        <v>11772.02</v>
      </c>
      <c r="L598" s="356">
        <v>7.1550179982846629</v>
      </c>
      <c r="M598" s="356">
        <v>13.05</v>
      </c>
      <c r="N598" s="356">
        <v>7.8101794379866822</v>
      </c>
      <c r="O598" s="356">
        <v>5.155772203900546</v>
      </c>
      <c r="P598" s="208"/>
      <c r="Q598" s="208"/>
      <c r="R598" s="208">
        <v>16</v>
      </c>
    </row>
    <row r="599" spans="1:18" ht="12.75">
      <c r="A599" s="428" t="s">
        <v>1009</v>
      </c>
      <c r="B599" s="429"/>
      <c r="C599" s="429"/>
      <c r="D599" s="429"/>
      <c r="E599" s="429"/>
      <c r="F599" s="429"/>
      <c r="G599" s="429"/>
      <c r="H599" s="429"/>
      <c r="I599" s="429"/>
      <c r="J599" s="429"/>
      <c r="K599" s="429"/>
      <c r="L599" s="429"/>
      <c r="M599" s="429"/>
      <c r="N599" s="429"/>
      <c r="O599" s="429"/>
      <c r="P599" s="429"/>
      <c r="Q599" s="429"/>
      <c r="R599" s="429"/>
    </row>
    <row r="600" spans="1:18" ht="24">
      <c r="A600" s="198">
        <v>58.63</v>
      </c>
      <c r="B600" s="191" t="s">
        <v>1010</v>
      </c>
      <c r="C600" s="199" t="s">
        <v>1011</v>
      </c>
      <c r="D600" s="200">
        <v>86.06</v>
      </c>
      <c r="E600" s="200">
        <v>85.84</v>
      </c>
      <c r="F600" s="200">
        <v>0.22</v>
      </c>
      <c r="G600" s="200"/>
      <c r="H600" s="201">
        <v>1121.06</v>
      </c>
      <c r="I600" s="201">
        <v>1120.21</v>
      </c>
      <c r="J600" s="201">
        <v>0.85</v>
      </c>
      <c r="K600" s="201"/>
      <c r="L600" s="357">
        <v>13.026493144317916</v>
      </c>
      <c r="M600" s="357">
        <v>13.05</v>
      </c>
      <c r="N600" s="357">
        <v>3.8636363636363633</v>
      </c>
      <c r="O600" s="357" t="s">
        <v>135</v>
      </c>
      <c r="P600" s="202"/>
      <c r="Q600" s="202"/>
      <c r="R600" s="202">
        <v>17</v>
      </c>
    </row>
    <row r="601" spans="1:18" ht="24">
      <c r="A601" s="198">
        <v>58.64</v>
      </c>
      <c r="B601" s="191" t="s">
        <v>1012</v>
      </c>
      <c r="C601" s="199" t="s">
        <v>1013</v>
      </c>
      <c r="D601" s="200">
        <v>121.34</v>
      </c>
      <c r="E601" s="200">
        <v>119.16</v>
      </c>
      <c r="F601" s="200">
        <v>2.1800000000000002</v>
      </c>
      <c r="G601" s="200"/>
      <c r="H601" s="201">
        <v>1563.67</v>
      </c>
      <c r="I601" s="201">
        <v>1555.08</v>
      </c>
      <c r="J601" s="201">
        <v>8.59</v>
      </c>
      <c r="K601" s="201"/>
      <c r="L601" s="357">
        <v>12.886682050436789</v>
      </c>
      <c r="M601" s="357">
        <v>13.05</v>
      </c>
      <c r="N601" s="357">
        <v>3.9403669724770638</v>
      </c>
      <c r="O601" s="357" t="s">
        <v>135</v>
      </c>
      <c r="P601" s="202"/>
      <c r="Q601" s="202"/>
      <c r="R601" s="202">
        <v>17</v>
      </c>
    </row>
    <row r="602" spans="1:18" ht="24">
      <c r="A602" s="203">
        <v>58.65</v>
      </c>
      <c r="B602" s="204" t="s">
        <v>1014</v>
      </c>
      <c r="C602" s="205" t="s">
        <v>1015</v>
      </c>
      <c r="D602" s="206">
        <v>94.28</v>
      </c>
      <c r="E602" s="206">
        <v>93.61</v>
      </c>
      <c r="F602" s="206">
        <v>0.67</v>
      </c>
      <c r="G602" s="206"/>
      <c r="H602" s="207">
        <v>1224.22</v>
      </c>
      <c r="I602" s="207">
        <v>1221.5899999999999</v>
      </c>
      <c r="J602" s="207">
        <v>2.63</v>
      </c>
      <c r="K602" s="207"/>
      <c r="L602" s="356">
        <v>12.984938481120068</v>
      </c>
      <c r="M602" s="356">
        <v>13.05</v>
      </c>
      <c r="N602" s="356">
        <v>3.9253731343283578</v>
      </c>
      <c r="O602" s="356" t="s">
        <v>135</v>
      </c>
      <c r="P602" s="208"/>
      <c r="Q602" s="208"/>
      <c r="R602" s="208">
        <v>17</v>
      </c>
    </row>
    <row r="603" spans="1:18" ht="12.75">
      <c r="A603" s="428" t="s">
        <v>1016</v>
      </c>
      <c r="B603" s="429"/>
      <c r="C603" s="429"/>
      <c r="D603" s="429"/>
      <c r="E603" s="429"/>
      <c r="F603" s="429"/>
      <c r="G603" s="429"/>
      <c r="H603" s="429"/>
      <c r="I603" s="429"/>
      <c r="J603" s="429"/>
      <c r="K603" s="429"/>
      <c r="L603" s="429"/>
      <c r="M603" s="429"/>
      <c r="N603" s="429"/>
      <c r="O603" s="429"/>
      <c r="P603" s="429"/>
      <c r="Q603" s="429"/>
      <c r="R603" s="429"/>
    </row>
    <row r="604" spans="1:18" ht="24">
      <c r="A604" s="198">
        <v>58.66</v>
      </c>
      <c r="B604" s="191" t="s">
        <v>1017</v>
      </c>
      <c r="C604" s="199" t="s">
        <v>1018</v>
      </c>
      <c r="D604" s="200">
        <v>1363.28</v>
      </c>
      <c r="E604" s="200">
        <v>433.69</v>
      </c>
      <c r="F604" s="200">
        <v>19.329999999999998</v>
      </c>
      <c r="G604" s="200">
        <v>910.26</v>
      </c>
      <c r="H604" s="201">
        <v>10046.040000000001</v>
      </c>
      <c r="I604" s="201">
        <v>5659.49</v>
      </c>
      <c r="J604" s="201">
        <v>97.3</v>
      </c>
      <c r="K604" s="201">
        <v>4289.25</v>
      </c>
      <c r="L604" s="357">
        <v>7.3690217710228278</v>
      </c>
      <c r="M604" s="357">
        <v>13.05</v>
      </c>
      <c r="N604" s="357">
        <v>5.0336264873254013</v>
      </c>
      <c r="O604" s="357">
        <v>4.712115219827302</v>
      </c>
      <c r="P604" s="202"/>
      <c r="Q604" s="202"/>
      <c r="R604" s="202">
        <v>18</v>
      </c>
    </row>
    <row r="605" spans="1:18" ht="24">
      <c r="A605" s="198">
        <v>58.67</v>
      </c>
      <c r="B605" s="191" t="s">
        <v>1019</v>
      </c>
      <c r="C605" s="199" t="s">
        <v>1020</v>
      </c>
      <c r="D605" s="200">
        <v>1928.2</v>
      </c>
      <c r="E605" s="200">
        <v>617.99</v>
      </c>
      <c r="F605" s="200">
        <v>30.14</v>
      </c>
      <c r="G605" s="200">
        <v>1280.07</v>
      </c>
      <c r="H605" s="201">
        <v>14257.73</v>
      </c>
      <c r="I605" s="201">
        <v>8064.46</v>
      </c>
      <c r="J605" s="201">
        <v>151.6</v>
      </c>
      <c r="K605" s="201">
        <v>6041.67</v>
      </c>
      <c r="L605" s="357">
        <v>7.3943211285136394</v>
      </c>
      <c r="M605" s="357">
        <v>13.05</v>
      </c>
      <c r="N605" s="357">
        <v>5.0298606502986063</v>
      </c>
      <c r="O605" s="357">
        <v>4.7197965736248806</v>
      </c>
      <c r="P605" s="202"/>
      <c r="Q605" s="202"/>
      <c r="R605" s="202">
        <v>18</v>
      </c>
    </row>
    <row r="606" spans="1:18" ht="24">
      <c r="A606" s="198">
        <v>58.68</v>
      </c>
      <c r="B606" s="191" t="s">
        <v>1021</v>
      </c>
      <c r="C606" s="199" t="s">
        <v>1022</v>
      </c>
      <c r="D606" s="200">
        <v>2705.32</v>
      </c>
      <c r="E606" s="200">
        <v>771.16</v>
      </c>
      <c r="F606" s="200">
        <v>53.68</v>
      </c>
      <c r="G606" s="200">
        <v>1880.48</v>
      </c>
      <c r="H606" s="201">
        <v>16895.38</v>
      </c>
      <c r="I606" s="201">
        <v>10063.24</v>
      </c>
      <c r="J606" s="201">
        <v>270.20999999999998</v>
      </c>
      <c r="K606" s="201">
        <v>6561.93</v>
      </c>
      <c r="L606" s="357">
        <v>6.2452427069625776</v>
      </c>
      <c r="M606" s="357">
        <v>13.05</v>
      </c>
      <c r="N606" s="357">
        <v>5.033718330849478</v>
      </c>
      <c r="O606" s="357">
        <v>3.4894973623755638</v>
      </c>
      <c r="P606" s="202"/>
      <c r="Q606" s="202"/>
      <c r="R606" s="202">
        <v>18</v>
      </c>
    </row>
    <row r="607" spans="1:18" ht="24">
      <c r="A607" s="198">
        <v>58.69</v>
      </c>
      <c r="B607" s="191" t="s">
        <v>1023</v>
      </c>
      <c r="C607" s="199" t="s">
        <v>1024</v>
      </c>
      <c r="D607" s="200">
        <v>4632.66</v>
      </c>
      <c r="E607" s="200">
        <v>908.1</v>
      </c>
      <c r="F607" s="200">
        <v>83.53</v>
      </c>
      <c r="G607" s="200">
        <v>3641.03</v>
      </c>
      <c r="H607" s="201">
        <v>29427.88</v>
      </c>
      <c r="I607" s="201">
        <v>11850.25</v>
      </c>
      <c r="J607" s="201">
        <v>420.64</v>
      </c>
      <c r="K607" s="201">
        <v>17156.990000000002</v>
      </c>
      <c r="L607" s="357">
        <v>6.3522641419832242</v>
      </c>
      <c r="M607" s="357">
        <v>13.05</v>
      </c>
      <c r="N607" s="357">
        <v>5.0357955225667421</v>
      </c>
      <c r="O607" s="357">
        <v>4.7121254150611227</v>
      </c>
      <c r="P607" s="202"/>
      <c r="Q607" s="202"/>
      <c r="R607" s="202">
        <v>18</v>
      </c>
    </row>
    <row r="608" spans="1:18" ht="24">
      <c r="A608" s="203">
        <v>58.7</v>
      </c>
      <c r="B608" s="204" t="s">
        <v>1025</v>
      </c>
      <c r="C608" s="205" t="s">
        <v>1026</v>
      </c>
      <c r="D608" s="206">
        <v>6350.35</v>
      </c>
      <c r="E608" s="206">
        <v>1314.27</v>
      </c>
      <c r="F608" s="206">
        <v>120.55</v>
      </c>
      <c r="G608" s="206">
        <v>4915.53</v>
      </c>
      <c r="H608" s="207">
        <v>40994.269999999997</v>
      </c>
      <c r="I608" s="207">
        <v>17150.599999999999</v>
      </c>
      <c r="J608" s="207">
        <v>606.4</v>
      </c>
      <c r="K608" s="207">
        <v>23237.27</v>
      </c>
      <c r="L608" s="356">
        <v>6.4554347398174894</v>
      </c>
      <c r="M608" s="356">
        <v>13.05</v>
      </c>
      <c r="N608" s="356">
        <v>5.0302778929904601</v>
      </c>
      <c r="O608" s="356">
        <v>4.7273172984398428</v>
      </c>
      <c r="P608" s="208"/>
      <c r="Q608" s="208"/>
      <c r="R608" s="208">
        <v>18</v>
      </c>
    </row>
    <row r="609" spans="1:18" ht="12.75">
      <c r="A609" s="428" t="s">
        <v>1027</v>
      </c>
      <c r="B609" s="429"/>
      <c r="C609" s="429"/>
      <c r="D609" s="429"/>
      <c r="E609" s="429"/>
      <c r="F609" s="429"/>
      <c r="G609" s="429"/>
      <c r="H609" s="429"/>
      <c r="I609" s="429"/>
      <c r="J609" s="429"/>
      <c r="K609" s="429"/>
      <c r="L609" s="429"/>
      <c r="M609" s="429"/>
      <c r="N609" s="429"/>
      <c r="O609" s="429"/>
      <c r="P609" s="429"/>
      <c r="Q609" s="429"/>
      <c r="R609" s="429"/>
    </row>
    <row r="610" spans="1:18" ht="36">
      <c r="A610" s="198">
        <v>58.71</v>
      </c>
      <c r="B610" s="191" t="s">
        <v>1028</v>
      </c>
      <c r="C610" s="199" t="s">
        <v>1029</v>
      </c>
      <c r="D610" s="200">
        <v>7471.55</v>
      </c>
      <c r="E610" s="200">
        <v>1476.4</v>
      </c>
      <c r="F610" s="200">
        <v>10</v>
      </c>
      <c r="G610" s="200">
        <v>5985.15</v>
      </c>
      <c r="H610" s="201">
        <v>40837.64</v>
      </c>
      <c r="I610" s="201">
        <v>19267.259999999998</v>
      </c>
      <c r="J610" s="201">
        <v>62.66</v>
      </c>
      <c r="K610" s="201">
        <v>21507.72</v>
      </c>
      <c r="L610" s="357">
        <v>5.4657520862471642</v>
      </c>
      <c r="M610" s="357">
        <v>13.05</v>
      </c>
      <c r="N610" s="357">
        <v>6.266</v>
      </c>
      <c r="O610" s="357">
        <v>3.5935139470188719</v>
      </c>
      <c r="P610" s="202"/>
      <c r="Q610" s="202"/>
      <c r="R610" s="202">
        <v>19</v>
      </c>
    </row>
    <row r="611" spans="1:18" ht="36">
      <c r="A611" s="198">
        <v>58.72</v>
      </c>
      <c r="B611" s="191" t="s">
        <v>1030</v>
      </c>
      <c r="C611" s="199" t="s">
        <v>1031</v>
      </c>
      <c r="D611" s="200">
        <v>5900.28</v>
      </c>
      <c r="E611" s="200">
        <v>1146.31</v>
      </c>
      <c r="F611" s="200">
        <v>13.93</v>
      </c>
      <c r="G611" s="200">
        <v>4740.04</v>
      </c>
      <c r="H611" s="201">
        <v>33645.29</v>
      </c>
      <c r="I611" s="201">
        <v>14959.61</v>
      </c>
      <c r="J611" s="201">
        <v>87.17</v>
      </c>
      <c r="K611" s="201">
        <v>18598.509999999998</v>
      </c>
      <c r="L611" s="357">
        <v>5.7023209068044229</v>
      </c>
      <c r="M611" s="357">
        <v>13.05</v>
      </c>
      <c r="N611" s="357">
        <v>6.2577171572146453</v>
      </c>
      <c r="O611" s="357">
        <v>3.9237031755006284</v>
      </c>
      <c r="P611" s="202"/>
      <c r="Q611" s="202"/>
      <c r="R611" s="202">
        <v>19</v>
      </c>
    </row>
    <row r="612" spans="1:18" ht="36">
      <c r="A612" s="198">
        <v>58.73</v>
      </c>
      <c r="B612" s="191" t="s">
        <v>1032</v>
      </c>
      <c r="C612" s="199" t="s">
        <v>1033</v>
      </c>
      <c r="D612" s="200">
        <v>5688.99</v>
      </c>
      <c r="E612" s="200">
        <v>988.1</v>
      </c>
      <c r="F612" s="200">
        <v>19.64</v>
      </c>
      <c r="G612" s="200">
        <v>4681.25</v>
      </c>
      <c r="H612" s="201">
        <v>31392.3</v>
      </c>
      <c r="I612" s="201">
        <v>12894.94</v>
      </c>
      <c r="J612" s="201">
        <v>122.55</v>
      </c>
      <c r="K612" s="201">
        <v>18374.810000000001</v>
      </c>
      <c r="L612" s="357">
        <v>5.5180796591310584</v>
      </c>
      <c r="M612" s="357">
        <v>13.05</v>
      </c>
      <c r="N612" s="357">
        <v>6.2398167006109979</v>
      </c>
      <c r="O612" s="357">
        <v>3.9251930574098801</v>
      </c>
      <c r="P612" s="202"/>
      <c r="Q612" s="202"/>
      <c r="R612" s="202">
        <v>19</v>
      </c>
    </row>
    <row r="613" spans="1:18" ht="24">
      <c r="A613" s="198">
        <v>58.74</v>
      </c>
      <c r="B613" s="191" t="s">
        <v>1034</v>
      </c>
      <c r="C613" s="199" t="s">
        <v>1035</v>
      </c>
      <c r="D613" s="200">
        <v>7030.86</v>
      </c>
      <c r="E613" s="200">
        <v>1035.71</v>
      </c>
      <c r="F613" s="200">
        <v>10</v>
      </c>
      <c r="G613" s="200">
        <v>5985.15</v>
      </c>
      <c r="H613" s="201">
        <v>35086.47</v>
      </c>
      <c r="I613" s="201">
        <v>13516.09</v>
      </c>
      <c r="J613" s="201">
        <v>62.66</v>
      </c>
      <c r="K613" s="201">
        <v>21507.72</v>
      </c>
      <c r="L613" s="357">
        <v>4.9903525315537509</v>
      </c>
      <c r="M613" s="357">
        <v>13.05</v>
      </c>
      <c r="N613" s="357">
        <v>6.266</v>
      </c>
      <c r="O613" s="357">
        <v>3.5935139470188719</v>
      </c>
      <c r="P613" s="202"/>
      <c r="Q613" s="202"/>
      <c r="R613" s="202">
        <v>19</v>
      </c>
    </row>
    <row r="614" spans="1:18" ht="24">
      <c r="A614" s="198">
        <v>58.75</v>
      </c>
      <c r="B614" s="191" t="s">
        <v>1036</v>
      </c>
      <c r="C614" s="199" t="s">
        <v>1037</v>
      </c>
      <c r="D614" s="200">
        <v>5548.12</v>
      </c>
      <c r="E614" s="200">
        <v>798.08</v>
      </c>
      <c r="F614" s="200">
        <v>10</v>
      </c>
      <c r="G614" s="200">
        <v>4740.04</v>
      </c>
      <c r="H614" s="201">
        <v>29076.16</v>
      </c>
      <c r="I614" s="201">
        <v>10414.99</v>
      </c>
      <c r="J614" s="201">
        <v>62.66</v>
      </c>
      <c r="K614" s="201">
        <v>18598.509999999998</v>
      </c>
      <c r="L614" s="357">
        <v>5.2407229836413052</v>
      </c>
      <c r="M614" s="357">
        <v>13.05</v>
      </c>
      <c r="N614" s="357">
        <v>6.266</v>
      </c>
      <c r="O614" s="357">
        <v>3.9237031755006284</v>
      </c>
      <c r="P614" s="202"/>
      <c r="Q614" s="202"/>
      <c r="R614" s="202">
        <v>19</v>
      </c>
    </row>
    <row r="615" spans="1:18" ht="36">
      <c r="A615" s="203">
        <v>58.76</v>
      </c>
      <c r="B615" s="204" t="s">
        <v>1038</v>
      </c>
      <c r="C615" s="205" t="s">
        <v>1039</v>
      </c>
      <c r="D615" s="206">
        <v>10638.73</v>
      </c>
      <c r="E615" s="206">
        <v>1196.82</v>
      </c>
      <c r="F615" s="206">
        <v>34.26</v>
      </c>
      <c r="G615" s="206">
        <v>9407.65</v>
      </c>
      <c r="H615" s="207">
        <v>52742.11</v>
      </c>
      <c r="I615" s="207">
        <v>15618.5</v>
      </c>
      <c r="J615" s="207">
        <v>212.24</v>
      </c>
      <c r="K615" s="207">
        <v>36911.370000000003</v>
      </c>
      <c r="L615" s="356">
        <v>4.9575569640361214</v>
      </c>
      <c r="M615" s="356">
        <v>13.05</v>
      </c>
      <c r="N615" s="356">
        <v>6.1949795680093409</v>
      </c>
      <c r="O615" s="356">
        <v>3.9235483888112337</v>
      </c>
      <c r="P615" s="208"/>
      <c r="Q615" s="208"/>
      <c r="R615" s="208">
        <v>19</v>
      </c>
    </row>
    <row r="616" spans="1:18" ht="12.75">
      <c r="A616" s="428" t="s">
        <v>1040</v>
      </c>
      <c r="B616" s="429"/>
      <c r="C616" s="429"/>
      <c r="D616" s="429"/>
      <c r="E616" s="429"/>
      <c r="F616" s="429"/>
      <c r="G616" s="429"/>
      <c r="H616" s="429"/>
      <c r="I616" s="429"/>
      <c r="J616" s="429"/>
      <c r="K616" s="429"/>
      <c r="L616" s="429"/>
      <c r="M616" s="429"/>
      <c r="N616" s="429"/>
      <c r="O616" s="429"/>
      <c r="P616" s="429"/>
      <c r="Q616" s="429"/>
      <c r="R616" s="429"/>
    </row>
    <row r="617" spans="1:18" ht="24">
      <c r="A617" s="198">
        <v>58.77</v>
      </c>
      <c r="B617" s="191" t="s">
        <v>1041</v>
      </c>
      <c r="C617" s="199" t="s">
        <v>1042</v>
      </c>
      <c r="D617" s="200">
        <v>2926.78</v>
      </c>
      <c r="E617" s="200">
        <v>421.97</v>
      </c>
      <c r="F617" s="200">
        <v>7.12</v>
      </c>
      <c r="G617" s="200">
        <v>2497.69</v>
      </c>
      <c r="H617" s="201">
        <v>14653.29</v>
      </c>
      <c r="I617" s="201">
        <v>5506.7</v>
      </c>
      <c r="J617" s="201">
        <v>43.46</v>
      </c>
      <c r="K617" s="201">
        <v>9103.1299999999992</v>
      </c>
      <c r="L617" s="357">
        <v>5.0066250281879743</v>
      </c>
      <c r="M617" s="357">
        <v>13.05</v>
      </c>
      <c r="N617" s="357">
        <v>6.1039325842696632</v>
      </c>
      <c r="O617" s="357">
        <v>3.6446196285367676</v>
      </c>
      <c r="P617" s="202"/>
      <c r="Q617" s="202"/>
      <c r="R617" s="202">
        <v>20</v>
      </c>
    </row>
    <row r="618" spans="1:18" ht="24">
      <c r="A618" s="198">
        <v>58.78</v>
      </c>
      <c r="B618" s="191" t="s">
        <v>1043</v>
      </c>
      <c r="C618" s="199" t="s">
        <v>1044</v>
      </c>
      <c r="D618" s="200">
        <v>4970.53</v>
      </c>
      <c r="E618" s="200">
        <v>644.21</v>
      </c>
      <c r="F618" s="200">
        <v>11.42</v>
      </c>
      <c r="G618" s="200">
        <v>4314.8999999999996</v>
      </c>
      <c r="H618" s="201">
        <v>24103.17</v>
      </c>
      <c r="I618" s="201">
        <v>8407</v>
      </c>
      <c r="J618" s="201">
        <v>70.75</v>
      </c>
      <c r="K618" s="201">
        <v>15625.42</v>
      </c>
      <c r="L618" s="357">
        <v>4.8492152748298469</v>
      </c>
      <c r="M618" s="357">
        <v>13.05</v>
      </c>
      <c r="N618" s="357">
        <v>6.1952714535901929</v>
      </c>
      <c r="O618" s="357">
        <v>3.621270481355304</v>
      </c>
      <c r="P618" s="202"/>
      <c r="Q618" s="202"/>
      <c r="R618" s="202">
        <v>20</v>
      </c>
    </row>
    <row r="619" spans="1:18" ht="36">
      <c r="A619" s="198">
        <v>58.79</v>
      </c>
      <c r="B619" s="191" t="s">
        <v>1045</v>
      </c>
      <c r="C619" s="199" t="s">
        <v>1046</v>
      </c>
      <c r="D619" s="200">
        <v>6241.69</v>
      </c>
      <c r="E619" s="200">
        <v>715.85</v>
      </c>
      <c r="F619" s="200">
        <v>13.93</v>
      </c>
      <c r="G619" s="200">
        <v>5511.91</v>
      </c>
      <c r="H619" s="201">
        <v>29437.29</v>
      </c>
      <c r="I619" s="201">
        <v>9341.85</v>
      </c>
      <c r="J619" s="201">
        <v>87.17</v>
      </c>
      <c r="K619" s="201">
        <v>20008.27</v>
      </c>
      <c r="L619" s="357">
        <v>4.7162371088599402</v>
      </c>
      <c r="M619" s="357">
        <v>13.05</v>
      </c>
      <c r="N619" s="357">
        <v>6.2577171572146453</v>
      </c>
      <c r="O619" s="357">
        <v>3.6300066583090076</v>
      </c>
      <c r="P619" s="202"/>
      <c r="Q619" s="202"/>
      <c r="R619" s="202">
        <v>20</v>
      </c>
    </row>
    <row r="620" spans="1:18" ht="36">
      <c r="A620" s="198">
        <v>58.8</v>
      </c>
      <c r="B620" s="191" t="s">
        <v>1047</v>
      </c>
      <c r="C620" s="199" t="s">
        <v>1048</v>
      </c>
      <c r="D620" s="200">
        <v>10809.94</v>
      </c>
      <c r="E620" s="200">
        <v>1153.81</v>
      </c>
      <c r="F620" s="200">
        <v>23.57</v>
      </c>
      <c r="G620" s="200">
        <v>9632.56</v>
      </c>
      <c r="H620" s="201">
        <v>49803.27</v>
      </c>
      <c r="I620" s="201">
        <v>15057.33</v>
      </c>
      <c r="J620" s="201">
        <v>147.05000000000001</v>
      </c>
      <c r="K620" s="201">
        <v>34598.89</v>
      </c>
      <c r="L620" s="357">
        <v>4.6071735828320968</v>
      </c>
      <c r="M620" s="357">
        <v>13.05</v>
      </c>
      <c r="N620" s="357">
        <v>6.2388629613916002</v>
      </c>
      <c r="O620" s="357">
        <v>3.5918686205951484</v>
      </c>
      <c r="P620" s="202"/>
      <c r="Q620" s="202"/>
      <c r="R620" s="202">
        <v>20</v>
      </c>
    </row>
    <row r="621" spans="1:18" ht="24">
      <c r="A621" s="198">
        <v>58.81</v>
      </c>
      <c r="B621" s="191" t="s">
        <v>1049</v>
      </c>
      <c r="C621" s="199" t="s">
        <v>1050</v>
      </c>
      <c r="D621" s="200">
        <v>1974.17</v>
      </c>
      <c r="E621" s="200">
        <v>664.49</v>
      </c>
      <c r="F621" s="200">
        <v>4.9800000000000004</v>
      </c>
      <c r="G621" s="200">
        <v>1304.7</v>
      </c>
      <c r="H621" s="201">
        <v>13513.95</v>
      </c>
      <c r="I621" s="201">
        <v>8671.6299999999992</v>
      </c>
      <c r="J621" s="201">
        <v>29.82</v>
      </c>
      <c r="K621" s="201">
        <v>4812.5</v>
      </c>
      <c r="L621" s="357">
        <v>6.8453831230339839</v>
      </c>
      <c r="M621" s="357">
        <v>13.05</v>
      </c>
      <c r="N621" s="357">
        <v>5.9879518072289155</v>
      </c>
      <c r="O621" s="357">
        <v>3.6885874147313555</v>
      </c>
      <c r="P621" s="202"/>
      <c r="Q621" s="202"/>
      <c r="R621" s="202">
        <v>20</v>
      </c>
    </row>
    <row r="622" spans="1:18" ht="24">
      <c r="A622" s="198">
        <v>58.82</v>
      </c>
      <c r="B622" s="191" t="s">
        <v>1051</v>
      </c>
      <c r="C622" s="199" t="s">
        <v>1052</v>
      </c>
      <c r="D622" s="200">
        <v>1839.25</v>
      </c>
      <c r="E622" s="200">
        <v>529.57000000000005</v>
      </c>
      <c r="F622" s="200">
        <v>4.9800000000000004</v>
      </c>
      <c r="G622" s="200">
        <v>1304.7</v>
      </c>
      <c r="H622" s="201">
        <v>11753.29</v>
      </c>
      <c r="I622" s="201">
        <v>6910.97</v>
      </c>
      <c r="J622" s="201">
        <v>29.82</v>
      </c>
      <c r="K622" s="201">
        <v>4812.5</v>
      </c>
      <c r="L622" s="357">
        <v>6.3902623351909753</v>
      </c>
      <c r="M622" s="357">
        <v>13.05</v>
      </c>
      <c r="N622" s="357">
        <v>5.9879518072289155</v>
      </c>
      <c r="O622" s="357">
        <v>3.6885874147313555</v>
      </c>
      <c r="P622" s="202"/>
      <c r="Q622" s="202"/>
      <c r="R622" s="202">
        <v>20</v>
      </c>
    </row>
    <row r="623" spans="1:18" ht="24">
      <c r="A623" s="198">
        <v>58.83</v>
      </c>
      <c r="B623" s="191" t="s">
        <v>1053</v>
      </c>
      <c r="C623" s="199" t="s">
        <v>1054</v>
      </c>
      <c r="D623" s="200">
        <v>2198.04</v>
      </c>
      <c r="E623" s="200">
        <v>888.36</v>
      </c>
      <c r="F623" s="200">
        <v>4.9800000000000004</v>
      </c>
      <c r="G623" s="200">
        <v>1304.7</v>
      </c>
      <c r="H623" s="201">
        <v>16435.52</v>
      </c>
      <c r="I623" s="201">
        <v>11593.2</v>
      </c>
      <c r="J623" s="201">
        <v>29.82</v>
      </c>
      <c r="K623" s="201">
        <v>4812.5</v>
      </c>
      <c r="L623" s="357">
        <v>7.4773525504540412</v>
      </c>
      <c r="M623" s="357">
        <v>13.05</v>
      </c>
      <c r="N623" s="357">
        <v>5.9879518072289155</v>
      </c>
      <c r="O623" s="357">
        <v>3.6885874147313555</v>
      </c>
      <c r="P623" s="202"/>
      <c r="Q623" s="202"/>
      <c r="R623" s="202">
        <v>20</v>
      </c>
    </row>
    <row r="624" spans="1:18" ht="24">
      <c r="A624" s="203">
        <v>58.84</v>
      </c>
      <c r="B624" s="204" t="s">
        <v>1055</v>
      </c>
      <c r="C624" s="205" t="s">
        <v>1056</v>
      </c>
      <c r="D624" s="206">
        <v>2557.88</v>
      </c>
      <c r="E624" s="206">
        <v>946.24</v>
      </c>
      <c r="F624" s="206">
        <v>6.39</v>
      </c>
      <c r="G624" s="206">
        <v>1605.25</v>
      </c>
      <c r="H624" s="207">
        <v>18316.560000000001</v>
      </c>
      <c r="I624" s="207">
        <v>12348.52</v>
      </c>
      <c r="J624" s="207">
        <v>37.9</v>
      </c>
      <c r="K624" s="207">
        <v>5930.14</v>
      </c>
      <c r="L624" s="356">
        <v>7.1608363175754928</v>
      </c>
      <c r="M624" s="356">
        <v>13.05</v>
      </c>
      <c r="N624" s="356">
        <v>5.9311424100156493</v>
      </c>
      <c r="O624" s="356">
        <v>3.6942158542283137</v>
      </c>
      <c r="P624" s="208"/>
      <c r="Q624" s="208"/>
      <c r="R624" s="208">
        <v>20</v>
      </c>
    </row>
    <row r="625" spans="1:18" ht="12.75">
      <c r="A625" s="428" t="s">
        <v>1057</v>
      </c>
      <c r="B625" s="429"/>
      <c r="C625" s="429"/>
      <c r="D625" s="429"/>
      <c r="E625" s="429"/>
      <c r="F625" s="429"/>
      <c r="G625" s="429"/>
      <c r="H625" s="429"/>
      <c r="I625" s="429"/>
      <c r="J625" s="429"/>
      <c r="K625" s="429"/>
      <c r="L625" s="429"/>
      <c r="M625" s="429"/>
      <c r="N625" s="429"/>
      <c r="O625" s="429"/>
      <c r="P625" s="429"/>
      <c r="Q625" s="429"/>
      <c r="R625" s="429"/>
    </row>
    <row r="626" spans="1:18" ht="24">
      <c r="A626" s="198">
        <v>58.85</v>
      </c>
      <c r="B626" s="191" t="s">
        <v>1058</v>
      </c>
      <c r="C626" s="199" t="s">
        <v>1059</v>
      </c>
      <c r="D626" s="200">
        <v>1106.28</v>
      </c>
      <c r="E626" s="200">
        <v>181.54</v>
      </c>
      <c r="F626" s="200">
        <v>3.15</v>
      </c>
      <c r="G626" s="200">
        <v>921.59</v>
      </c>
      <c r="H626" s="201">
        <v>5692.73</v>
      </c>
      <c r="I626" s="201">
        <v>2369.08</v>
      </c>
      <c r="J626" s="201">
        <v>15.92</v>
      </c>
      <c r="K626" s="201">
        <v>3307.73</v>
      </c>
      <c r="L626" s="357">
        <v>5.1458310735076109</v>
      </c>
      <c r="M626" s="357">
        <v>13.05</v>
      </c>
      <c r="N626" s="357">
        <v>5.0539682539682538</v>
      </c>
      <c r="O626" s="357">
        <v>3.589155698304018</v>
      </c>
      <c r="P626" s="202"/>
      <c r="Q626" s="202"/>
      <c r="R626" s="202">
        <v>21</v>
      </c>
    </row>
    <row r="627" spans="1:18" ht="24">
      <c r="A627" s="203">
        <v>58.86</v>
      </c>
      <c r="B627" s="204" t="s">
        <v>1060</v>
      </c>
      <c r="C627" s="205" t="s">
        <v>1061</v>
      </c>
      <c r="D627" s="206">
        <v>324.38</v>
      </c>
      <c r="E627" s="206">
        <v>50.75</v>
      </c>
      <c r="F627" s="206">
        <v>1.05</v>
      </c>
      <c r="G627" s="206">
        <v>272.58</v>
      </c>
      <c r="H627" s="207">
        <v>1645.97</v>
      </c>
      <c r="I627" s="207">
        <v>662.32</v>
      </c>
      <c r="J627" s="207">
        <v>5.31</v>
      </c>
      <c r="K627" s="207">
        <v>978.34</v>
      </c>
      <c r="L627" s="356">
        <v>5.074203095135335</v>
      </c>
      <c r="M627" s="356">
        <v>13.05</v>
      </c>
      <c r="N627" s="356">
        <v>5.0571428571428569</v>
      </c>
      <c r="O627" s="356">
        <v>3.5891848264729624</v>
      </c>
      <c r="P627" s="208"/>
      <c r="Q627" s="208"/>
      <c r="R627" s="208">
        <v>21</v>
      </c>
    </row>
    <row r="628" spans="1:18" ht="12.75">
      <c r="A628" s="428" t="s">
        <v>1062</v>
      </c>
      <c r="B628" s="429"/>
      <c r="C628" s="429"/>
      <c r="D628" s="429"/>
      <c r="E628" s="429"/>
      <c r="F628" s="429"/>
      <c r="G628" s="429"/>
      <c r="H628" s="429"/>
      <c r="I628" s="429"/>
      <c r="J628" s="429"/>
      <c r="K628" s="429"/>
      <c r="L628" s="429"/>
      <c r="M628" s="429"/>
      <c r="N628" s="429"/>
      <c r="O628" s="429"/>
      <c r="P628" s="429"/>
      <c r="Q628" s="429"/>
      <c r="R628" s="429"/>
    </row>
    <row r="629" spans="1:18" ht="24">
      <c r="A629" s="198">
        <v>58.87</v>
      </c>
      <c r="B629" s="191" t="s">
        <v>1063</v>
      </c>
      <c r="C629" s="199" t="s">
        <v>1064</v>
      </c>
      <c r="D629" s="200">
        <v>1005.5</v>
      </c>
      <c r="E629" s="200">
        <v>368.93</v>
      </c>
      <c r="F629" s="200">
        <v>1.05</v>
      </c>
      <c r="G629" s="200">
        <v>635.52</v>
      </c>
      <c r="H629" s="201">
        <v>8275.2199999999993</v>
      </c>
      <c r="I629" s="201">
        <v>4814.59</v>
      </c>
      <c r="J629" s="201">
        <v>5.31</v>
      </c>
      <c r="K629" s="201">
        <v>3455.32</v>
      </c>
      <c r="L629" s="357">
        <v>8.2299552461461953</v>
      </c>
      <c r="M629" s="357">
        <v>13.05</v>
      </c>
      <c r="N629" s="357">
        <v>5.0571428571428569</v>
      </c>
      <c r="O629" s="357">
        <v>5.436996475327291</v>
      </c>
      <c r="P629" s="202"/>
      <c r="Q629" s="202"/>
      <c r="R629" s="202">
        <v>22</v>
      </c>
    </row>
    <row r="630" spans="1:18" ht="24">
      <c r="A630" s="203">
        <v>58.88</v>
      </c>
      <c r="B630" s="204" t="s">
        <v>1065</v>
      </c>
      <c r="C630" s="205" t="s">
        <v>1066</v>
      </c>
      <c r="D630" s="206">
        <v>848.36</v>
      </c>
      <c r="E630" s="206">
        <v>211.79</v>
      </c>
      <c r="F630" s="206">
        <v>1.05</v>
      </c>
      <c r="G630" s="206">
        <v>635.52</v>
      </c>
      <c r="H630" s="207">
        <v>6224.56</v>
      </c>
      <c r="I630" s="207">
        <v>2763.93</v>
      </c>
      <c r="J630" s="207">
        <v>5.31</v>
      </c>
      <c r="K630" s="207">
        <v>3455.32</v>
      </c>
      <c r="L630" s="356">
        <v>7.3371681833184033</v>
      </c>
      <c r="M630" s="356">
        <v>13.05</v>
      </c>
      <c r="N630" s="356">
        <v>5.0571428571428569</v>
      </c>
      <c r="O630" s="356">
        <v>5.436996475327291</v>
      </c>
      <c r="P630" s="208"/>
      <c r="Q630" s="208"/>
      <c r="R630" s="208">
        <v>22</v>
      </c>
    </row>
    <row r="631" spans="1:18" ht="12.75">
      <c r="A631" s="428" t="s">
        <v>1067</v>
      </c>
      <c r="B631" s="429"/>
      <c r="C631" s="429"/>
      <c r="D631" s="429"/>
      <c r="E631" s="429"/>
      <c r="F631" s="429"/>
      <c r="G631" s="429"/>
      <c r="H631" s="429"/>
      <c r="I631" s="429"/>
      <c r="J631" s="429"/>
      <c r="K631" s="429"/>
      <c r="L631" s="429"/>
      <c r="M631" s="429"/>
      <c r="N631" s="429"/>
      <c r="O631" s="429"/>
      <c r="P631" s="429"/>
      <c r="Q631" s="429"/>
      <c r="R631" s="429"/>
    </row>
    <row r="632" spans="1:18" ht="24">
      <c r="A632" s="203">
        <v>58.89</v>
      </c>
      <c r="B632" s="204" t="s">
        <v>1068</v>
      </c>
      <c r="C632" s="205" t="s">
        <v>1069</v>
      </c>
      <c r="D632" s="206">
        <v>785.36</v>
      </c>
      <c r="E632" s="206">
        <v>89.98</v>
      </c>
      <c r="F632" s="206">
        <v>8.6</v>
      </c>
      <c r="G632" s="206">
        <v>686.78</v>
      </c>
      <c r="H632" s="207">
        <v>4390.96</v>
      </c>
      <c r="I632" s="207">
        <v>1174.21</v>
      </c>
      <c r="J632" s="207">
        <v>51.89</v>
      </c>
      <c r="K632" s="207">
        <v>3164.86</v>
      </c>
      <c r="L632" s="356">
        <v>5.5910155852093304</v>
      </c>
      <c r="M632" s="356">
        <v>13.05</v>
      </c>
      <c r="N632" s="356">
        <v>6.0337209302325583</v>
      </c>
      <c r="O632" s="356">
        <v>4.6082588310667179</v>
      </c>
      <c r="P632" s="208"/>
      <c r="Q632" s="208"/>
      <c r="R632" s="208">
        <v>23</v>
      </c>
    </row>
    <row r="633" spans="1:18" ht="12.75">
      <c r="A633" s="428" t="s">
        <v>1070</v>
      </c>
      <c r="B633" s="429"/>
      <c r="C633" s="429"/>
      <c r="D633" s="429"/>
      <c r="E633" s="429"/>
      <c r="F633" s="429"/>
      <c r="G633" s="429"/>
      <c r="H633" s="429"/>
      <c r="I633" s="429"/>
      <c r="J633" s="429"/>
      <c r="K633" s="429"/>
      <c r="L633" s="429"/>
      <c r="M633" s="429"/>
      <c r="N633" s="429"/>
      <c r="O633" s="429"/>
      <c r="P633" s="429"/>
      <c r="Q633" s="429"/>
      <c r="R633" s="429"/>
    </row>
    <row r="634" spans="1:18" ht="24">
      <c r="A634" s="198">
        <v>58.9</v>
      </c>
      <c r="B634" s="191" t="s">
        <v>1071</v>
      </c>
      <c r="C634" s="199" t="s">
        <v>1072</v>
      </c>
      <c r="D634" s="200">
        <v>2460.1</v>
      </c>
      <c r="E634" s="200">
        <v>1618.85</v>
      </c>
      <c r="F634" s="200">
        <v>103.29</v>
      </c>
      <c r="G634" s="200">
        <v>737.96</v>
      </c>
      <c r="H634" s="201">
        <v>25017.67</v>
      </c>
      <c r="I634" s="201">
        <v>21125.64</v>
      </c>
      <c r="J634" s="201">
        <v>648.57000000000005</v>
      </c>
      <c r="K634" s="201">
        <v>3243.46</v>
      </c>
      <c r="L634" s="357">
        <v>10.16937116377383</v>
      </c>
      <c r="M634" s="357">
        <v>13.05</v>
      </c>
      <c r="N634" s="357">
        <v>6.2791170490851007</v>
      </c>
      <c r="O634" s="357">
        <v>4.39517046994417</v>
      </c>
      <c r="P634" s="202"/>
      <c r="Q634" s="202"/>
      <c r="R634" s="202">
        <v>24</v>
      </c>
    </row>
    <row r="635" spans="1:18" ht="24">
      <c r="A635" s="198">
        <v>58.91</v>
      </c>
      <c r="B635" s="191" t="s">
        <v>1073</v>
      </c>
      <c r="C635" s="199" t="s">
        <v>1074</v>
      </c>
      <c r="D635" s="200">
        <v>2724.09</v>
      </c>
      <c r="E635" s="200">
        <v>1842.8</v>
      </c>
      <c r="F635" s="200">
        <v>143.33000000000001</v>
      </c>
      <c r="G635" s="200">
        <v>737.96</v>
      </c>
      <c r="H635" s="201">
        <v>28212.34</v>
      </c>
      <c r="I635" s="201">
        <v>24048.2</v>
      </c>
      <c r="J635" s="201">
        <v>920.68</v>
      </c>
      <c r="K635" s="201">
        <v>3243.46</v>
      </c>
      <c r="L635" s="357">
        <v>10.356610831507036</v>
      </c>
      <c r="M635" s="357">
        <v>13.05</v>
      </c>
      <c r="N635" s="357">
        <v>6.4234982208888569</v>
      </c>
      <c r="O635" s="357">
        <v>4.39517046994417</v>
      </c>
      <c r="P635" s="202"/>
      <c r="Q635" s="202"/>
      <c r="R635" s="202">
        <v>24</v>
      </c>
    </row>
    <row r="636" spans="1:18" ht="36">
      <c r="A636" s="203">
        <v>58.92</v>
      </c>
      <c r="B636" s="204" t="s">
        <v>1075</v>
      </c>
      <c r="C636" s="205" t="s">
        <v>1076</v>
      </c>
      <c r="D636" s="206">
        <v>324.98</v>
      </c>
      <c r="E636" s="206">
        <v>324.98</v>
      </c>
      <c r="F636" s="206"/>
      <c r="G636" s="206"/>
      <c r="H636" s="207">
        <v>4240.97</v>
      </c>
      <c r="I636" s="207">
        <v>4240.97</v>
      </c>
      <c r="J636" s="207"/>
      <c r="K636" s="207"/>
      <c r="L636" s="356">
        <v>13.049941534863684</v>
      </c>
      <c r="M636" s="356">
        <v>13.05</v>
      </c>
      <c r="N636" s="356" t="s">
        <v>135</v>
      </c>
      <c r="O636" s="356" t="s">
        <v>135</v>
      </c>
      <c r="P636" s="208"/>
      <c r="Q636" s="208"/>
      <c r="R636" s="208">
        <v>24</v>
      </c>
    </row>
    <row r="637" spans="1:18" ht="12.75">
      <c r="A637" s="428" t="s">
        <v>1077</v>
      </c>
      <c r="B637" s="429"/>
      <c r="C637" s="429"/>
      <c r="D637" s="429"/>
      <c r="E637" s="429"/>
      <c r="F637" s="429"/>
      <c r="G637" s="429"/>
      <c r="H637" s="429"/>
      <c r="I637" s="429"/>
      <c r="J637" s="429"/>
      <c r="K637" s="429"/>
      <c r="L637" s="429"/>
      <c r="M637" s="429"/>
      <c r="N637" s="429"/>
      <c r="O637" s="429"/>
      <c r="P637" s="429"/>
      <c r="Q637" s="429"/>
      <c r="R637" s="429"/>
    </row>
    <row r="638" spans="1:18" ht="24">
      <c r="A638" s="198">
        <v>58.93</v>
      </c>
      <c r="B638" s="191" t="s">
        <v>1078</v>
      </c>
      <c r="C638" s="199" t="s">
        <v>1079</v>
      </c>
      <c r="D638" s="200">
        <v>49.48</v>
      </c>
      <c r="E638" s="200"/>
      <c r="F638" s="200">
        <v>22.98</v>
      </c>
      <c r="G638" s="200">
        <v>26.5</v>
      </c>
      <c r="H638" s="201">
        <v>308.49</v>
      </c>
      <c r="I638" s="201">
        <v>0</v>
      </c>
      <c r="J638" s="201">
        <v>165.45</v>
      </c>
      <c r="K638" s="201">
        <v>143.04</v>
      </c>
      <c r="L638" s="357">
        <v>6.2346402586903809</v>
      </c>
      <c r="M638" s="357" t="s">
        <v>135</v>
      </c>
      <c r="N638" s="357">
        <v>7.1997389033942554</v>
      </c>
      <c r="O638" s="357">
        <v>5.3977358490566036</v>
      </c>
      <c r="P638" s="202"/>
      <c r="Q638" s="202"/>
      <c r="R638" s="202">
        <v>25</v>
      </c>
    </row>
    <row r="639" spans="1:18" ht="24">
      <c r="A639" s="198">
        <v>58.94</v>
      </c>
      <c r="B639" s="191" t="s">
        <v>1080</v>
      </c>
      <c r="C639" s="199" t="s">
        <v>1081</v>
      </c>
      <c r="D639" s="200">
        <v>110.44</v>
      </c>
      <c r="E639" s="200"/>
      <c r="F639" s="200">
        <v>57.44</v>
      </c>
      <c r="G639" s="200">
        <v>53</v>
      </c>
      <c r="H639" s="201">
        <v>699.71</v>
      </c>
      <c r="I639" s="201">
        <v>0</v>
      </c>
      <c r="J639" s="201">
        <v>413.62</v>
      </c>
      <c r="K639" s="201">
        <v>286.08999999999997</v>
      </c>
      <c r="L639" s="357">
        <v>6.3356573705179287</v>
      </c>
      <c r="M639" s="357" t="s">
        <v>135</v>
      </c>
      <c r="N639" s="357">
        <v>7.200905292479109</v>
      </c>
      <c r="O639" s="357">
        <v>5.3979245283018864</v>
      </c>
      <c r="P639" s="202"/>
      <c r="Q639" s="202"/>
      <c r="R639" s="202">
        <v>25</v>
      </c>
    </row>
    <row r="640" spans="1:18" ht="36">
      <c r="A640" s="203">
        <v>58.95</v>
      </c>
      <c r="B640" s="204" t="s">
        <v>1082</v>
      </c>
      <c r="C640" s="205" t="s">
        <v>1083</v>
      </c>
      <c r="D640" s="206">
        <v>228.84</v>
      </c>
      <c r="E640" s="206"/>
      <c r="F640" s="206">
        <v>149.34</v>
      </c>
      <c r="G640" s="206">
        <v>79.5</v>
      </c>
      <c r="H640" s="207">
        <v>1504.54</v>
      </c>
      <c r="I640" s="207">
        <v>0</v>
      </c>
      <c r="J640" s="207">
        <v>1075.4100000000001</v>
      </c>
      <c r="K640" s="207">
        <v>429.13</v>
      </c>
      <c r="L640" s="356">
        <v>6.5746373011711237</v>
      </c>
      <c r="M640" s="356" t="s">
        <v>135</v>
      </c>
      <c r="N640" s="356">
        <v>7.201084773001206</v>
      </c>
      <c r="O640" s="356">
        <v>5.3978616352201261</v>
      </c>
      <c r="P640" s="208"/>
      <c r="Q640" s="208"/>
      <c r="R640" s="208">
        <v>25</v>
      </c>
    </row>
    <row r="641" spans="1:18" ht="12.75">
      <c r="A641" s="428" t="s">
        <v>1084</v>
      </c>
      <c r="B641" s="429"/>
      <c r="C641" s="429"/>
      <c r="D641" s="429"/>
      <c r="E641" s="429"/>
      <c r="F641" s="429"/>
      <c r="G641" s="429"/>
      <c r="H641" s="429"/>
      <c r="I641" s="429"/>
      <c r="J641" s="429"/>
      <c r="K641" s="429"/>
      <c r="L641" s="429"/>
      <c r="M641" s="429"/>
      <c r="N641" s="429"/>
      <c r="O641" s="429"/>
      <c r="P641" s="429"/>
      <c r="Q641" s="429"/>
      <c r="R641" s="429"/>
    </row>
    <row r="642" spans="1:18" ht="36">
      <c r="A642" s="198">
        <v>58.96</v>
      </c>
      <c r="B642" s="191" t="s">
        <v>1085</v>
      </c>
      <c r="C642" s="199" t="s">
        <v>1086</v>
      </c>
      <c r="D642" s="200">
        <v>55.58</v>
      </c>
      <c r="E642" s="200">
        <v>17.809999999999999</v>
      </c>
      <c r="F642" s="200">
        <v>6.97</v>
      </c>
      <c r="G642" s="200">
        <v>30.8</v>
      </c>
      <c r="H642" s="201">
        <v>477.26</v>
      </c>
      <c r="I642" s="201">
        <v>232.45</v>
      </c>
      <c r="J642" s="201">
        <v>42.66</v>
      </c>
      <c r="K642" s="201">
        <v>202.15</v>
      </c>
      <c r="L642" s="357">
        <v>8.5869017632241817</v>
      </c>
      <c r="M642" s="357">
        <v>13.05</v>
      </c>
      <c r="N642" s="357">
        <v>6.1205164992826395</v>
      </c>
      <c r="O642" s="357">
        <v>6.5633116883116882</v>
      </c>
      <c r="P642" s="202"/>
      <c r="Q642" s="202"/>
      <c r="R642" s="202">
        <v>26</v>
      </c>
    </row>
    <row r="643" spans="1:18" ht="36">
      <c r="A643" s="203">
        <v>58.97</v>
      </c>
      <c r="B643" s="204" t="s">
        <v>1087</v>
      </c>
      <c r="C643" s="205" t="s">
        <v>1088</v>
      </c>
      <c r="D643" s="206">
        <v>71.81</v>
      </c>
      <c r="E643" s="206">
        <v>21.76</v>
      </c>
      <c r="F643" s="206">
        <v>6.97</v>
      </c>
      <c r="G643" s="206">
        <v>43.08</v>
      </c>
      <c r="H643" s="207">
        <v>591.38</v>
      </c>
      <c r="I643" s="207">
        <v>283.92</v>
      </c>
      <c r="J643" s="207">
        <v>42.66</v>
      </c>
      <c r="K643" s="207">
        <v>264.8</v>
      </c>
      <c r="L643" s="356">
        <v>8.2353432669544624</v>
      </c>
      <c r="M643" s="356">
        <v>13.05</v>
      </c>
      <c r="N643" s="356">
        <v>6.1205164992826395</v>
      </c>
      <c r="O643" s="356">
        <v>6.1467038068709385</v>
      </c>
      <c r="P643" s="208"/>
      <c r="Q643" s="208"/>
      <c r="R643" s="208">
        <v>26</v>
      </c>
    </row>
    <row r="644" spans="1:18" ht="12.75">
      <c r="A644" s="428" t="s">
        <v>1089</v>
      </c>
      <c r="B644" s="429"/>
      <c r="C644" s="429"/>
      <c r="D644" s="429"/>
      <c r="E644" s="429"/>
      <c r="F644" s="429"/>
      <c r="G644" s="429"/>
      <c r="H644" s="429"/>
      <c r="I644" s="429"/>
      <c r="J644" s="429"/>
      <c r="K644" s="429"/>
      <c r="L644" s="429"/>
      <c r="M644" s="429"/>
      <c r="N644" s="429"/>
      <c r="O644" s="429"/>
      <c r="P644" s="429"/>
      <c r="Q644" s="429"/>
      <c r="R644" s="429"/>
    </row>
    <row r="645" spans="1:18" ht="36">
      <c r="A645" s="203">
        <v>58.98</v>
      </c>
      <c r="B645" s="204" t="s">
        <v>1090</v>
      </c>
      <c r="C645" s="205" t="s">
        <v>1091</v>
      </c>
      <c r="D645" s="206">
        <v>30.76</v>
      </c>
      <c r="E645" s="206">
        <v>13.18</v>
      </c>
      <c r="F645" s="206">
        <v>1.9</v>
      </c>
      <c r="G645" s="206">
        <v>15.68</v>
      </c>
      <c r="H645" s="207">
        <v>365.44</v>
      </c>
      <c r="I645" s="207">
        <v>171.95</v>
      </c>
      <c r="J645" s="207">
        <v>11.64</v>
      </c>
      <c r="K645" s="207">
        <v>181.85</v>
      </c>
      <c r="L645" s="356">
        <v>11.880364109232769</v>
      </c>
      <c r="M645" s="356">
        <v>13.05</v>
      </c>
      <c r="N645" s="356">
        <v>6.1263157894736846</v>
      </c>
      <c r="O645" s="356">
        <v>11.597576530612244</v>
      </c>
      <c r="P645" s="208"/>
      <c r="Q645" s="208"/>
      <c r="R645" s="208">
        <v>27</v>
      </c>
    </row>
    <row r="646" spans="1:18" ht="12.75">
      <c r="A646" s="428" t="s">
        <v>1092</v>
      </c>
      <c r="B646" s="429"/>
      <c r="C646" s="429"/>
      <c r="D646" s="429"/>
      <c r="E646" s="429"/>
      <c r="F646" s="429"/>
      <c r="G646" s="429"/>
      <c r="H646" s="429"/>
      <c r="I646" s="429"/>
      <c r="J646" s="429"/>
      <c r="K646" s="429"/>
      <c r="L646" s="429"/>
      <c r="M646" s="429"/>
      <c r="N646" s="429"/>
      <c r="O646" s="429"/>
      <c r="P646" s="429"/>
      <c r="Q646" s="429"/>
      <c r="R646" s="429"/>
    </row>
    <row r="647" spans="1:18" ht="36">
      <c r="A647" s="203">
        <v>58.99</v>
      </c>
      <c r="B647" s="204" t="s">
        <v>1093</v>
      </c>
      <c r="C647" s="205" t="s">
        <v>1094</v>
      </c>
      <c r="D647" s="206">
        <v>20795.21</v>
      </c>
      <c r="E647" s="206">
        <v>408.46</v>
      </c>
      <c r="F647" s="206">
        <v>30.09</v>
      </c>
      <c r="G647" s="206">
        <v>20356.66</v>
      </c>
      <c r="H647" s="207">
        <v>123147.42</v>
      </c>
      <c r="I647" s="207">
        <v>5330.43</v>
      </c>
      <c r="J647" s="207">
        <v>190.68</v>
      </c>
      <c r="K647" s="207">
        <v>117626.31</v>
      </c>
      <c r="L647" s="356">
        <v>5.9219127866465406</v>
      </c>
      <c r="M647" s="356">
        <v>13.05</v>
      </c>
      <c r="N647" s="356">
        <v>6.3369890329012968</v>
      </c>
      <c r="O647" s="356">
        <v>5.7782715828628071</v>
      </c>
      <c r="P647" s="208"/>
      <c r="Q647" s="208"/>
      <c r="R647" s="208">
        <v>28</v>
      </c>
    </row>
    <row r="648" spans="1:18" ht="12.75">
      <c r="A648" s="428" t="s">
        <v>1095</v>
      </c>
      <c r="B648" s="429"/>
      <c r="C648" s="429"/>
      <c r="D648" s="429"/>
      <c r="E648" s="429"/>
      <c r="F648" s="429"/>
      <c r="G648" s="429"/>
      <c r="H648" s="429"/>
      <c r="I648" s="429"/>
      <c r="J648" s="429"/>
      <c r="K648" s="429"/>
      <c r="L648" s="429"/>
      <c r="M648" s="429"/>
      <c r="N648" s="429"/>
      <c r="O648" s="429"/>
      <c r="P648" s="429"/>
      <c r="Q648" s="429"/>
      <c r="R648" s="429"/>
    </row>
    <row r="649" spans="1:18" ht="24">
      <c r="A649" s="198">
        <v>58.1</v>
      </c>
      <c r="B649" s="191" t="s">
        <v>1096</v>
      </c>
      <c r="C649" s="199" t="s">
        <v>1097</v>
      </c>
      <c r="D649" s="200">
        <v>4560.2700000000004</v>
      </c>
      <c r="E649" s="200">
        <v>575.33000000000004</v>
      </c>
      <c r="F649" s="200">
        <v>3746.1</v>
      </c>
      <c r="G649" s="200">
        <v>238.84</v>
      </c>
      <c r="H649" s="201">
        <v>40917.629999999997</v>
      </c>
      <c r="I649" s="201">
        <v>7508.05</v>
      </c>
      <c r="J649" s="201">
        <v>30160.69</v>
      </c>
      <c r="K649" s="201">
        <v>3248.89</v>
      </c>
      <c r="L649" s="357">
        <v>8.972633199350037</v>
      </c>
      <c r="M649" s="357">
        <v>13.05</v>
      </c>
      <c r="N649" s="357">
        <v>8.0512239395638137</v>
      </c>
      <c r="O649" s="357">
        <v>13.602788477641935</v>
      </c>
      <c r="P649" s="202"/>
      <c r="Q649" s="202"/>
      <c r="R649" s="202">
        <v>29</v>
      </c>
    </row>
    <row r="650" spans="1:18" ht="24">
      <c r="A650" s="198">
        <v>58.100999999999999</v>
      </c>
      <c r="B650" s="191" t="s">
        <v>1098</v>
      </c>
      <c r="C650" s="199" t="s">
        <v>1099</v>
      </c>
      <c r="D650" s="200">
        <v>2382.06</v>
      </c>
      <c r="E650" s="200">
        <v>189.94</v>
      </c>
      <c r="F650" s="200">
        <v>1953.28</v>
      </c>
      <c r="G650" s="200">
        <v>238.84</v>
      </c>
      <c r="H650" s="201">
        <v>21813.919999999998</v>
      </c>
      <c r="I650" s="201">
        <v>2478.75</v>
      </c>
      <c r="J650" s="201">
        <v>16086.28</v>
      </c>
      <c r="K650" s="201">
        <v>3248.89</v>
      </c>
      <c r="L650" s="357">
        <v>9.157586290857493</v>
      </c>
      <c r="M650" s="357">
        <v>13.05</v>
      </c>
      <c r="N650" s="357">
        <v>8.2355217889908268</v>
      </c>
      <c r="O650" s="357">
        <v>13.602788477641935</v>
      </c>
      <c r="P650" s="202"/>
      <c r="Q650" s="202"/>
      <c r="R650" s="202">
        <v>29</v>
      </c>
    </row>
    <row r="651" spans="1:18" ht="12.75">
      <c r="A651" s="189"/>
      <c r="B651" s="195"/>
      <c r="C651" s="194"/>
      <c r="D651" s="196"/>
      <c r="E651" s="196"/>
      <c r="F651" s="196"/>
      <c r="G651" s="196"/>
      <c r="H651" s="197"/>
      <c r="I651" s="197"/>
      <c r="J651" s="197"/>
      <c r="K651" s="197"/>
      <c r="L651" s="355"/>
      <c r="M651" s="355"/>
      <c r="N651" s="355"/>
      <c r="O651" s="354"/>
      <c r="P651" s="188"/>
      <c r="Q651" s="188"/>
      <c r="R651" s="188"/>
    </row>
    <row r="652" spans="1:18">
      <c r="A652" s="169"/>
      <c r="B652" s="172"/>
      <c r="C652" s="169"/>
      <c r="D652" s="169"/>
      <c r="E652" s="169"/>
      <c r="F652" s="169"/>
      <c r="G652" s="169"/>
      <c r="H652" s="171"/>
      <c r="I652" s="171"/>
      <c r="J652" s="171"/>
      <c r="K652" s="171"/>
      <c r="O652" s="353"/>
      <c r="P652" s="169"/>
      <c r="Q652" s="169"/>
      <c r="R652" s="169"/>
    </row>
    <row r="653" spans="1:18">
      <c r="O653" s="353"/>
    </row>
    <row r="654" spans="1:18">
      <c r="O654" s="352"/>
    </row>
    <row r="655" spans="1:18" ht="23.25">
      <c r="A655" s="61"/>
      <c r="B655" s="60"/>
      <c r="C655" s="45" t="s">
        <v>1100</v>
      </c>
      <c r="D655" s="45"/>
      <c r="E655" s="45"/>
      <c r="F655" s="45"/>
      <c r="G655" s="45"/>
      <c r="H655" s="58"/>
      <c r="I655" s="58"/>
      <c r="J655" s="58"/>
      <c r="K655" s="58"/>
      <c r="L655" s="351"/>
      <c r="M655" s="351"/>
      <c r="N655" s="351"/>
      <c r="O655" s="350"/>
    </row>
    <row r="658" spans="1:18" ht="12.75">
      <c r="A658" s="428" t="s">
        <v>1101</v>
      </c>
      <c r="B658" s="429"/>
      <c r="C658" s="429"/>
      <c r="D658" s="429"/>
      <c r="E658" s="429"/>
      <c r="F658" s="429"/>
      <c r="G658" s="429"/>
      <c r="H658" s="429"/>
      <c r="I658" s="429"/>
      <c r="J658" s="429"/>
      <c r="K658" s="429"/>
      <c r="L658" s="429"/>
      <c r="M658" s="429"/>
      <c r="N658" s="429"/>
      <c r="O658" s="429"/>
      <c r="P658" s="429"/>
      <c r="Q658" s="429"/>
      <c r="R658" s="429"/>
    </row>
    <row r="659" spans="1:18" ht="24">
      <c r="A659" s="219">
        <v>59.1</v>
      </c>
      <c r="B659" s="212" t="s">
        <v>1102</v>
      </c>
      <c r="C659" s="220" t="s">
        <v>1103</v>
      </c>
      <c r="D659" s="221">
        <v>1203.73</v>
      </c>
      <c r="E659" s="221">
        <v>1191.6600000000001</v>
      </c>
      <c r="F659" s="221">
        <v>12.07</v>
      </c>
      <c r="G659" s="221"/>
      <c r="H659" s="222">
        <v>15598.27</v>
      </c>
      <c r="I659" s="222">
        <v>15550.59</v>
      </c>
      <c r="J659" s="222">
        <v>47.68</v>
      </c>
      <c r="K659" s="222"/>
      <c r="L659" s="357">
        <v>12.958279680659285</v>
      </c>
      <c r="M659" s="357">
        <v>13.05</v>
      </c>
      <c r="N659" s="357">
        <v>3.9502899751449876</v>
      </c>
      <c r="O659" s="357" t="s">
        <v>135</v>
      </c>
      <c r="P659" s="223"/>
      <c r="Q659" s="223"/>
      <c r="R659" s="223">
        <v>1</v>
      </c>
    </row>
    <row r="660" spans="1:18" ht="24">
      <c r="A660" s="224">
        <v>59.2</v>
      </c>
      <c r="B660" s="225" t="s">
        <v>1104</v>
      </c>
      <c r="C660" s="226" t="s">
        <v>1105</v>
      </c>
      <c r="D660" s="227">
        <v>1957.12</v>
      </c>
      <c r="E660" s="227">
        <v>1957.12</v>
      </c>
      <c r="F660" s="227"/>
      <c r="G660" s="227"/>
      <c r="H660" s="228">
        <v>25539.52</v>
      </c>
      <c r="I660" s="228">
        <v>25539.52</v>
      </c>
      <c r="J660" s="228"/>
      <c r="K660" s="228"/>
      <c r="L660" s="356">
        <v>13.049542184434271</v>
      </c>
      <c r="M660" s="356">
        <v>13.05</v>
      </c>
      <c r="N660" s="356" t="s">
        <v>135</v>
      </c>
      <c r="O660" s="356" t="s">
        <v>135</v>
      </c>
      <c r="P660" s="229"/>
      <c r="Q660" s="229"/>
      <c r="R660" s="229">
        <v>1</v>
      </c>
    </row>
    <row r="661" spans="1:18" ht="12.75">
      <c r="A661" s="428" t="s">
        <v>1106</v>
      </c>
      <c r="B661" s="429"/>
      <c r="C661" s="429"/>
      <c r="D661" s="429"/>
      <c r="E661" s="429"/>
      <c r="F661" s="429"/>
      <c r="G661" s="429"/>
      <c r="H661" s="429"/>
      <c r="I661" s="429"/>
      <c r="J661" s="429"/>
      <c r="K661" s="429"/>
      <c r="L661" s="429"/>
      <c r="M661" s="429"/>
      <c r="N661" s="429"/>
      <c r="O661" s="429"/>
      <c r="P661" s="429"/>
      <c r="Q661" s="429"/>
      <c r="R661" s="429"/>
    </row>
    <row r="662" spans="1:18">
      <c r="A662" s="224">
        <v>59.3</v>
      </c>
      <c r="B662" s="225" t="s">
        <v>1107</v>
      </c>
      <c r="C662" s="226" t="s">
        <v>1108</v>
      </c>
      <c r="D662" s="227">
        <v>513.24</v>
      </c>
      <c r="E662" s="227">
        <v>510.85</v>
      </c>
      <c r="F662" s="227">
        <v>2.39</v>
      </c>
      <c r="G662" s="227"/>
      <c r="H662" s="228">
        <v>6675.75</v>
      </c>
      <c r="I662" s="228">
        <v>6666.31</v>
      </c>
      <c r="J662" s="228">
        <v>9.44</v>
      </c>
      <c r="K662" s="228"/>
      <c r="L662" s="356">
        <v>13.007072714519524</v>
      </c>
      <c r="M662" s="356">
        <v>13.05</v>
      </c>
      <c r="N662" s="356">
        <v>3.9497907949790791</v>
      </c>
      <c r="O662" s="356" t="s">
        <v>135</v>
      </c>
      <c r="P662" s="229"/>
      <c r="Q662" s="229"/>
      <c r="R662" s="229">
        <v>2</v>
      </c>
    </row>
    <row r="663" spans="1:18" ht="12.75">
      <c r="A663" s="428" t="s">
        <v>1109</v>
      </c>
      <c r="B663" s="429"/>
      <c r="C663" s="429"/>
      <c r="D663" s="429"/>
      <c r="E663" s="429"/>
      <c r="F663" s="429"/>
      <c r="G663" s="429"/>
      <c r="H663" s="429"/>
      <c r="I663" s="429"/>
      <c r="J663" s="429"/>
      <c r="K663" s="429"/>
      <c r="L663" s="429"/>
      <c r="M663" s="429"/>
      <c r="N663" s="429"/>
      <c r="O663" s="429"/>
      <c r="P663" s="429"/>
      <c r="Q663" s="429"/>
      <c r="R663" s="429"/>
    </row>
    <row r="664" spans="1:18" ht="24">
      <c r="A664" s="219">
        <v>59.4</v>
      </c>
      <c r="B664" s="212" t="s">
        <v>1110</v>
      </c>
      <c r="C664" s="220" t="s">
        <v>1111</v>
      </c>
      <c r="D664" s="221">
        <v>505.36</v>
      </c>
      <c r="E664" s="221">
        <v>448.88</v>
      </c>
      <c r="F664" s="221">
        <v>6.63</v>
      </c>
      <c r="G664" s="221">
        <v>49.85</v>
      </c>
      <c r="H664" s="222">
        <v>6432.07</v>
      </c>
      <c r="I664" s="222">
        <v>5857.63</v>
      </c>
      <c r="J664" s="222">
        <v>50.57</v>
      </c>
      <c r="K664" s="222">
        <v>523.87</v>
      </c>
      <c r="L664" s="357">
        <v>12.727699066012347</v>
      </c>
      <c r="M664" s="357">
        <v>13.05</v>
      </c>
      <c r="N664" s="357">
        <v>7.6274509803921573</v>
      </c>
      <c r="O664" s="357">
        <v>10.508926780341023</v>
      </c>
      <c r="P664" s="223"/>
      <c r="Q664" s="223"/>
      <c r="R664" s="223">
        <v>3</v>
      </c>
    </row>
    <row r="665" spans="1:18" ht="24">
      <c r="A665" s="224">
        <v>59.5</v>
      </c>
      <c r="B665" s="225" t="s">
        <v>1112</v>
      </c>
      <c r="C665" s="226" t="s">
        <v>1113</v>
      </c>
      <c r="D665" s="227">
        <v>740.42</v>
      </c>
      <c r="E665" s="227">
        <v>664.28</v>
      </c>
      <c r="F665" s="227">
        <v>9.02</v>
      </c>
      <c r="G665" s="227">
        <v>67.12</v>
      </c>
      <c r="H665" s="228">
        <v>9442.3700000000008</v>
      </c>
      <c r="I665" s="228">
        <v>8668.89</v>
      </c>
      <c r="J665" s="228">
        <v>68.86</v>
      </c>
      <c r="K665" s="228">
        <v>704.62</v>
      </c>
      <c r="L665" s="356">
        <v>12.752721428378489</v>
      </c>
      <c r="M665" s="356">
        <v>13.05</v>
      </c>
      <c r="N665" s="356">
        <v>7.6341463414634152</v>
      </c>
      <c r="O665" s="356">
        <v>10.497914183551847</v>
      </c>
      <c r="P665" s="229"/>
      <c r="Q665" s="229"/>
      <c r="R665" s="229">
        <v>3</v>
      </c>
    </row>
    <row r="666" spans="1:18" ht="12.75">
      <c r="A666" s="428" t="s">
        <v>1114</v>
      </c>
      <c r="B666" s="429"/>
      <c r="C666" s="429"/>
      <c r="D666" s="429"/>
      <c r="E666" s="429"/>
      <c r="F666" s="429"/>
      <c r="G666" s="429"/>
      <c r="H666" s="429"/>
      <c r="I666" s="429"/>
      <c r="J666" s="429"/>
      <c r="K666" s="429"/>
      <c r="L666" s="429"/>
      <c r="M666" s="429"/>
      <c r="N666" s="429"/>
      <c r="O666" s="429"/>
      <c r="P666" s="429"/>
      <c r="Q666" s="429"/>
      <c r="R666" s="429"/>
    </row>
    <row r="667" spans="1:18">
      <c r="A667" s="219">
        <v>59.6</v>
      </c>
      <c r="B667" s="212" t="s">
        <v>1115</v>
      </c>
      <c r="C667" s="220" t="s">
        <v>1116</v>
      </c>
      <c r="D667" s="221">
        <v>132.77000000000001</v>
      </c>
      <c r="E667" s="221">
        <v>132.77000000000001</v>
      </c>
      <c r="F667" s="221"/>
      <c r="G667" s="221"/>
      <c r="H667" s="222">
        <v>1732.57</v>
      </c>
      <c r="I667" s="222">
        <v>1732.57</v>
      </c>
      <c r="J667" s="222"/>
      <c r="K667" s="222"/>
      <c r="L667" s="357">
        <v>13.049408751977102</v>
      </c>
      <c r="M667" s="357">
        <v>13.05</v>
      </c>
      <c r="N667" s="357" t="s">
        <v>135</v>
      </c>
      <c r="O667" s="357" t="s">
        <v>135</v>
      </c>
      <c r="P667" s="223"/>
      <c r="Q667" s="223"/>
      <c r="R667" s="223">
        <v>4</v>
      </c>
    </row>
    <row r="668" spans="1:18">
      <c r="A668" s="219">
        <v>59.7</v>
      </c>
      <c r="B668" s="212" t="s">
        <v>1117</v>
      </c>
      <c r="C668" s="220" t="s">
        <v>1118</v>
      </c>
      <c r="D668" s="221">
        <v>261.62</v>
      </c>
      <c r="E668" s="221">
        <v>261.62</v>
      </c>
      <c r="F668" s="221"/>
      <c r="G668" s="221"/>
      <c r="H668" s="222">
        <v>3414.14</v>
      </c>
      <c r="I668" s="222">
        <v>3414.14</v>
      </c>
      <c r="J668" s="222"/>
      <c r="K668" s="222"/>
      <c r="L668" s="357">
        <v>13.049996177662258</v>
      </c>
      <c r="M668" s="357">
        <v>13.05</v>
      </c>
      <c r="N668" s="357" t="s">
        <v>135</v>
      </c>
      <c r="O668" s="357" t="s">
        <v>135</v>
      </c>
      <c r="P668" s="223"/>
      <c r="Q668" s="223"/>
      <c r="R668" s="223">
        <v>4</v>
      </c>
    </row>
    <row r="669" spans="1:18">
      <c r="A669" s="224">
        <v>59.8</v>
      </c>
      <c r="B669" s="225" t="s">
        <v>1119</v>
      </c>
      <c r="C669" s="226" t="s">
        <v>1120</v>
      </c>
      <c r="D669" s="227">
        <v>32.79</v>
      </c>
      <c r="E669" s="227">
        <v>32.79</v>
      </c>
      <c r="F669" s="227"/>
      <c r="G669" s="227"/>
      <c r="H669" s="228">
        <v>427.96</v>
      </c>
      <c r="I669" s="228">
        <v>427.96</v>
      </c>
      <c r="J669" s="228"/>
      <c r="K669" s="228"/>
      <c r="L669" s="356">
        <v>13.051540103690149</v>
      </c>
      <c r="M669" s="356">
        <v>13.05</v>
      </c>
      <c r="N669" s="356" t="s">
        <v>135</v>
      </c>
      <c r="O669" s="356" t="s">
        <v>135</v>
      </c>
      <c r="P669" s="229"/>
      <c r="Q669" s="229"/>
      <c r="R669" s="229">
        <v>4</v>
      </c>
    </row>
    <row r="670" spans="1:18" ht="12.75">
      <c r="A670" s="428" t="s">
        <v>1121</v>
      </c>
      <c r="B670" s="429"/>
      <c r="C670" s="429"/>
      <c r="D670" s="429"/>
      <c r="E670" s="429"/>
      <c r="F670" s="429"/>
      <c r="G670" s="429"/>
      <c r="H670" s="429"/>
      <c r="I670" s="429"/>
      <c r="J670" s="429"/>
      <c r="K670" s="429"/>
      <c r="L670" s="429"/>
      <c r="M670" s="429"/>
      <c r="N670" s="429"/>
      <c r="O670" s="429"/>
      <c r="P670" s="429"/>
      <c r="Q670" s="429"/>
      <c r="R670" s="429"/>
    </row>
    <row r="671" spans="1:18">
      <c r="A671" s="219">
        <v>59.9</v>
      </c>
      <c r="B671" s="212" t="s">
        <v>1122</v>
      </c>
      <c r="C671" s="220" t="s">
        <v>1123</v>
      </c>
      <c r="D671" s="221">
        <v>6110.77</v>
      </c>
      <c r="E671" s="221">
        <v>3246.53</v>
      </c>
      <c r="F671" s="221">
        <v>64.290000000000006</v>
      </c>
      <c r="G671" s="221">
        <v>2799.95</v>
      </c>
      <c r="H671" s="222">
        <v>53065.83</v>
      </c>
      <c r="I671" s="222">
        <v>42367.43</v>
      </c>
      <c r="J671" s="222">
        <v>381.78</v>
      </c>
      <c r="K671" s="222">
        <v>10316.620000000001</v>
      </c>
      <c r="L671" s="357">
        <v>8.6839841787532492</v>
      </c>
      <c r="M671" s="357">
        <v>13.05</v>
      </c>
      <c r="N671" s="357">
        <v>5.9384041063929063</v>
      </c>
      <c r="O671" s="357">
        <v>3.684572938802479</v>
      </c>
      <c r="P671" s="223"/>
      <c r="Q671" s="223"/>
      <c r="R671" s="223">
        <v>5</v>
      </c>
    </row>
    <row r="672" spans="1:18">
      <c r="A672" s="219">
        <v>59.1</v>
      </c>
      <c r="B672" s="212" t="s">
        <v>1124</v>
      </c>
      <c r="C672" s="220" t="s">
        <v>1125</v>
      </c>
      <c r="D672" s="221">
        <v>1700.98</v>
      </c>
      <c r="E672" s="221">
        <v>1061.82</v>
      </c>
      <c r="F672" s="221">
        <v>26.35</v>
      </c>
      <c r="G672" s="221">
        <v>612.80999999999995</v>
      </c>
      <c r="H672" s="222">
        <v>17352.89</v>
      </c>
      <c r="I672" s="222">
        <v>13857.23</v>
      </c>
      <c r="J672" s="222">
        <v>160.19</v>
      </c>
      <c r="K672" s="222">
        <v>3335.47</v>
      </c>
      <c r="L672" s="357">
        <v>10.201701372150172</v>
      </c>
      <c r="M672" s="357">
        <v>13.05</v>
      </c>
      <c r="N672" s="357">
        <v>6.0793168880455406</v>
      </c>
      <c r="O672" s="357">
        <v>5.4429105269169895</v>
      </c>
      <c r="P672" s="223"/>
      <c r="Q672" s="223"/>
      <c r="R672" s="223">
        <v>5</v>
      </c>
    </row>
    <row r="673" spans="1:18">
      <c r="A673" s="224">
        <v>59.11</v>
      </c>
      <c r="B673" s="225" t="s">
        <v>1126</v>
      </c>
      <c r="C673" s="226" t="s">
        <v>1127</v>
      </c>
      <c r="D673" s="227">
        <v>1847.8</v>
      </c>
      <c r="E673" s="227">
        <v>1163.1300000000001</v>
      </c>
      <c r="F673" s="227">
        <v>40.450000000000003</v>
      </c>
      <c r="G673" s="227">
        <v>644.22</v>
      </c>
      <c r="H673" s="228">
        <v>18832.8</v>
      </c>
      <c r="I673" s="228">
        <v>15178.66</v>
      </c>
      <c r="J673" s="228">
        <v>238.01</v>
      </c>
      <c r="K673" s="228">
        <v>3416.13</v>
      </c>
      <c r="L673" s="356">
        <v>10.192012122524083</v>
      </c>
      <c r="M673" s="356">
        <v>13.05</v>
      </c>
      <c r="N673" s="356">
        <v>5.8840543881334977</v>
      </c>
      <c r="O673" s="356">
        <v>5.302738195026544</v>
      </c>
      <c r="P673" s="229"/>
      <c r="Q673" s="229"/>
      <c r="R673" s="229">
        <v>5</v>
      </c>
    </row>
    <row r="674" spans="1:18" ht="12.75">
      <c r="A674" s="428" t="s">
        <v>1128</v>
      </c>
      <c r="B674" s="429"/>
      <c r="C674" s="429"/>
      <c r="D674" s="429"/>
      <c r="E674" s="429"/>
      <c r="F674" s="429"/>
      <c r="G674" s="429"/>
      <c r="H674" s="429"/>
      <c r="I674" s="429"/>
      <c r="J674" s="429"/>
      <c r="K674" s="429"/>
      <c r="L674" s="429"/>
      <c r="M674" s="429"/>
      <c r="N674" s="429"/>
      <c r="O674" s="429"/>
      <c r="P674" s="429"/>
      <c r="Q674" s="429"/>
      <c r="R674" s="429"/>
    </row>
    <row r="675" spans="1:18">
      <c r="A675" s="224">
        <v>59.12</v>
      </c>
      <c r="B675" s="225" t="s">
        <v>1129</v>
      </c>
      <c r="C675" s="226" t="s">
        <v>1130</v>
      </c>
      <c r="D675" s="227">
        <v>2779.42</v>
      </c>
      <c r="E675" s="227">
        <v>2316.33</v>
      </c>
      <c r="F675" s="227">
        <v>439.85</v>
      </c>
      <c r="G675" s="227">
        <v>23.24</v>
      </c>
      <c r="H675" s="228">
        <v>33867.839999999997</v>
      </c>
      <c r="I675" s="228">
        <v>30227.34</v>
      </c>
      <c r="J675" s="228">
        <v>3488.42</v>
      </c>
      <c r="K675" s="228">
        <v>152.08000000000001</v>
      </c>
      <c r="L675" s="356">
        <v>12.185218498823494</v>
      </c>
      <c r="M675" s="356">
        <v>13.05</v>
      </c>
      <c r="N675" s="356">
        <v>7.930930999204274</v>
      </c>
      <c r="O675" s="356">
        <v>6.5438898450946654</v>
      </c>
      <c r="P675" s="229"/>
      <c r="Q675" s="229"/>
      <c r="R675" s="229">
        <v>6</v>
      </c>
    </row>
    <row r="676" spans="1:18" ht="12.75">
      <c r="A676" s="428" t="s">
        <v>1131</v>
      </c>
      <c r="B676" s="429"/>
      <c r="C676" s="429"/>
      <c r="D676" s="429"/>
      <c r="E676" s="429"/>
      <c r="F676" s="429"/>
      <c r="G676" s="429"/>
      <c r="H676" s="429"/>
      <c r="I676" s="429"/>
      <c r="J676" s="429"/>
      <c r="K676" s="429"/>
      <c r="L676" s="429"/>
      <c r="M676" s="429"/>
      <c r="N676" s="429"/>
      <c r="O676" s="429"/>
      <c r="P676" s="429"/>
      <c r="Q676" s="429"/>
      <c r="R676" s="429"/>
    </row>
    <row r="677" spans="1:18" ht="24">
      <c r="A677" s="219">
        <v>59.13</v>
      </c>
      <c r="B677" s="212" t="s">
        <v>1132</v>
      </c>
      <c r="C677" s="220" t="s">
        <v>1133</v>
      </c>
      <c r="D677" s="221">
        <v>702.05</v>
      </c>
      <c r="E677" s="221">
        <v>386.4</v>
      </c>
      <c r="F677" s="221">
        <v>5.3</v>
      </c>
      <c r="G677" s="221">
        <v>310.35000000000002</v>
      </c>
      <c r="H677" s="222">
        <v>6222.19</v>
      </c>
      <c r="I677" s="222">
        <v>5042.6000000000004</v>
      </c>
      <c r="J677" s="222">
        <v>32.64</v>
      </c>
      <c r="K677" s="222">
        <v>1146.95</v>
      </c>
      <c r="L677" s="357">
        <v>8.8628872587422549</v>
      </c>
      <c r="M677" s="357">
        <v>13.05</v>
      </c>
      <c r="N677" s="357">
        <v>6.1584905660377363</v>
      </c>
      <c r="O677" s="357">
        <v>3.6956661833413884</v>
      </c>
      <c r="P677" s="223"/>
      <c r="Q677" s="223"/>
      <c r="R677" s="223">
        <v>7</v>
      </c>
    </row>
    <row r="678" spans="1:18" ht="24">
      <c r="A678" s="224">
        <v>59.14</v>
      </c>
      <c r="B678" s="225" t="s">
        <v>1134</v>
      </c>
      <c r="C678" s="226" t="s">
        <v>1135</v>
      </c>
      <c r="D678" s="227">
        <v>755.18</v>
      </c>
      <c r="E678" s="227">
        <v>436.43</v>
      </c>
      <c r="F678" s="227">
        <v>8.4</v>
      </c>
      <c r="G678" s="227">
        <v>310.35000000000002</v>
      </c>
      <c r="H678" s="228">
        <v>6894.25</v>
      </c>
      <c r="I678" s="228">
        <v>5695.62</v>
      </c>
      <c r="J678" s="228">
        <v>51.68</v>
      </c>
      <c r="K678" s="228">
        <v>1146.95</v>
      </c>
      <c r="L678" s="356">
        <v>9.1292804364522375</v>
      </c>
      <c r="M678" s="356">
        <v>13.05</v>
      </c>
      <c r="N678" s="356">
        <v>6.1523809523809518</v>
      </c>
      <c r="O678" s="356">
        <v>3.6956661833413884</v>
      </c>
      <c r="P678" s="229"/>
      <c r="Q678" s="229"/>
      <c r="R678" s="229">
        <v>7</v>
      </c>
    </row>
    <row r="679" spans="1:18" ht="12.75">
      <c r="A679" s="428" t="s">
        <v>1136</v>
      </c>
      <c r="B679" s="429"/>
      <c r="C679" s="429"/>
      <c r="D679" s="429"/>
      <c r="E679" s="429"/>
      <c r="F679" s="429"/>
      <c r="G679" s="429"/>
      <c r="H679" s="429"/>
      <c r="I679" s="429"/>
      <c r="J679" s="429"/>
      <c r="K679" s="429"/>
      <c r="L679" s="429"/>
      <c r="M679" s="429"/>
      <c r="N679" s="429"/>
      <c r="O679" s="429"/>
      <c r="P679" s="429"/>
      <c r="Q679" s="429"/>
      <c r="R679" s="429"/>
    </row>
    <row r="680" spans="1:18" ht="24">
      <c r="A680" s="224">
        <v>59.15</v>
      </c>
      <c r="B680" s="225" t="s">
        <v>1137</v>
      </c>
      <c r="C680" s="226" t="s">
        <v>1138</v>
      </c>
      <c r="D680" s="227">
        <v>726.17</v>
      </c>
      <c r="E680" s="227">
        <v>273.20999999999998</v>
      </c>
      <c r="F680" s="227">
        <v>1.83</v>
      </c>
      <c r="G680" s="227">
        <v>451.13</v>
      </c>
      <c r="H680" s="228">
        <v>5839.45</v>
      </c>
      <c r="I680" s="228">
        <v>3565.41</v>
      </c>
      <c r="J680" s="228">
        <v>13.9</v>
      </c>
      <c r="K680" s="228">
        <v>2260.14</v>
      </c>
      <c r="L680" s="356">
        <v>8.0414365782117141</v>
      </c>
      <c r="M680" s="356">
        <v>13.05</v>
      </c>
      <c r="N680" s="356">
        <v>7.5956284153005464</v>
      </c>
      <c r="O680" s="356">
        <v>5.0099527852282044</v>
      </c>
      <c r="P680" s="229"/>
      <c r="Q680" s="229"/>
      <c r="R680" s="229">
        <v>8</v>
      </c>
    </row>
    <row r="681" spans="1:18" ht="12.75">
      <c r="A681" s="428" t="s">
        <v>1139</v>
      </c>
      <c r="B681" s="429"/>
      <c r="C681" s="429"/>
      <c r="D681" s="429"/>
      <c r="E681" s="429"/>
      <c r="F681" s="429"/>
      <c r="G681" s="429"/>
      <c r="H681" s="429"/>
      <c r="I681" s="429"/>
      <c r="J681" s="429"/>
      <c r="K681" s="429"/>
      <c r="L681" s="429"/>
      <c r="M681" s="429"/>
      <c r="N681" s="429"/>
      <c r="O681" s="429"/>
      <c r="P681" s="429"/>
      <c r="Q681" s="429"/>
      <c r="R681" s="429"/>
    </row>
    <row r="682" spans="1:18">
      <c r="A682" s="224">
        <v>59.16</v>
      </c>
      <c r="B682" s="225" t="s">
        <v>1140</v>
      </c>
      <c r="C682" s="226" t="s">
        <v>1141</v>
      </c>
      <c r="D682" s="227">
        <v>593.77</v>
      </c>
      <c r="E682" s="227">
        <v>109.14</v>
      </c>
      <c r="F682" s="227">
        <v>2.56</v>
      </c>
      <c r="G682" s="227">
        <v>482.07</v>
      </c>
      <c r="H682" s="228">
        <v>3867.85</v>
      </c>
      <c r="I682" s="228">
        <v>1424.26</v>
      </c>
      <c r="J682" s="228">
        <v>19.45</v>
      </c>
      <c r="K682" s="228">
        <v>2424.14</v>
      </c>
      <c r="L682" s="356">
        <v>6.5140542634353373</v>
      </c>
      <c r="M682" s="356">
        <v>13.05</v>
      </c>
      <c r="N682" s="356">
        <v>7.59765625</v>
      </c>
      <c r="O682" s="356">
        <v>5.0286058041363288</v>
      </c>
      <c r="P682" s="229"/>
      <c r="Q682" s="229"/>
      <c r="R682" s="229">
        <v>9</v>
      </c>
    </row>
    <row r="683" spans="1:18" ht="12.75">
      <c r="A683" s="428" t="s">
        <v>1142</v>
      </c>
      <c r="B683" s="429"/>
      <c r="C683" s="429"/>
      <c r="D683" s="429"/>
      <c r="E683" s="429"/>
      <c r="F683" s="429"/>
      <c r="G683" s="429"/>
      <c r="H683" s="429"/>
      <c r="I683" s="429"/>
      <c r="J683" s="429"/>
      <c r="K683" s="429"/>
      <c r="L683" s="429"/>
      <c r="M683" s="429"/>
      <c r="N683" s="429"/>
      <c r="O683" s="429"/>
      <c r="P683" s="429"/>
      <c r="Q683" s="429"/>
      <c r="R683" s="429"/>
    </row>
    <row r="684" spans="1:18" ht="24">
      <c r="A684" s="219">
        <v>59.17</v>
      </c>
      <c r="B684" s="212" t="s">
        <v>1143</v>
      </c>
      <c r="C684" s="220" t="s">
        <v>1144</v>
      </c>
      <c r="D684" s="221">
        <v>8299.99</v>
      </c>
      <c r="E684" s="221">
        <v>1958.74</v>
      </c>
      <c r="F684" s="221">
        <v>191.27</v>
      </c>
      <c r="G684" s="221">
        <v>6149.98</v>
      </c>
      <c r="H684" s="222">
        <v>92327.35</v>
      </c>
      <c r="I684" s="222">
        <v>25562.26</v>
      </c>
      <c r="J684" s="222">
        <v>1489.92</v>
      </c>
      <c r="K684" s="222">
        <v>65275.17</v>
      </c>
      <c r="L684" s="357">
        <v>11.123790510590977</v>
      </c>
      <c r="M684" s="357">
        <v>13.05</v>
      </c>
      <c r="N684" s="357">
        <v>7.7896167721022636</v>
      </c>
      <c r="O684" s="357">
        <v>10.613883297181454</v>
      </c>
      <c r="P684" s="223"/>
      <c r="Q684" s="223"/>
      <c r="R684" s="223">
        <v>10</v>
      </c>
    </row>
    <row r="685" spans="1:18" ht="36">
      <c r="A685" s="219">
        <v>59.18</v>
      </c>
      <c r="B685" s="212" t="s">
        <v>1145</v>
      </c>
      <c r="C685" s="220" t="s">
        <v>1146</v>
      </c>
      <c r="D685" s="221">
        <v>10013.65</v>
      </c>
      <c r="E685" s="221">
        <v>2950.23</v>
      </c>
      <c r="F685" s="221">
        <v>210.83</v>
      </c>
      <c r="G685" s="221">
        <v>6852.59</v>
      </c>
      <c r="H685" s="222">
        <v>109438.11</v>
      </c>
      <c r="I685" s="222">
        <v>38500.82</v>
      </c>
      <c r="J685" s="222">
        <v>1676.48</v>
      </c>
      <c r="K685" s="222">
        <v>69260.81</v>
      </c>
      <c r="L685" s="357">
        <v>10.928893060971774</v>
      </c>
      <c r="M685" s="357">
        <v>13.05</v>
      </c>
      <c r="N685" s="357">
        <v>7.9518095147749364</v>
      </c>
      <c r="O685" s="357">
        <v>10.107245581597615</v>
      </c>
      <c r="P685" s="223"/>
      <c r="Q685" s="223"/>
      <c r="R685" s="223">
        <v>10</v>
      </c>
    </row>
    <row r="686" spans="1:18" ht="12.75">
      <c r="A686" s="210"/>
      <c r="B686" s="216"/>
      <c r="C686" s="215"/>
      <c r="D686" s="217"/>
      <c r="E686" s="217"/>
      <c r="F686" s="217"/>
      <c r="G686" s="217"/>
      <c r="H686" s="218"/>
      <c r="I686" s="218"/>
      <c r="J686" s="218"/>
      <c r="K686" s="218"/>
      <c r="L686" s="355"/>
      <c r="M686" s="355"/>
      <c r="N686" s="355"/>
      <c r="O686" s="354"/>
      <c r="P686" s="209"/>
      <c r="Q686" s="209"/>
      <c r="R686" s="209"/>
    </row>
    <row r="687" spans="1:18">
      <c r="A687" s="190"/>
      <c r="B687" s="193"/>
      <c r="C687" s="190"/>
      <c r="D687" s="190"/>
      <c r="E687" s="190"/>
      <c r="F687" s="190"/>
      <c r="G687" s="190"/>
      <c r="H687" s="192"/>
      <c r="I687" s="192"/>
      <c r="J687" s="192"/>
      <c r="K687" s="192"/>
      <c r="O687" s="353"/>
      <c r="P687" s="190"/>
      <c r="Q687" s="190"/>
      <c r="R687" s="190"/>
    </row>
    <row r="688" spans="1:18">
      <c r="O688" s="353"/>
    </row>
    <row r="689" spans="1:18">
      <c r="O689" s="352"/>
    </row>
    <row r="690" spans="1:18" ht="23.25">
      <c r="A690" s="61"/>
      <c r="B690" s="60"/>
      <c r="C690" s="45" t="s">
        <v>1147</v>
      </c>
      <c r="D690" s="45"/>
      <c r="E690" s="45"/>
      <c r="F690" s="45"/>
      <c r="G690" s="45"/>
      <c r="H690" s="58"/>
      <c r="I690" s="58"/>
      <c r="J690" s="58"/>
      <c r="K690" s="58"/>
      <c r="L690" s="351"/>
      <c r="M690" s="351"/>
      <c r="N690" s="351"/>
      <c r="O690" s="350"/>
    </row>
    <row r="691" spans="1:18" ht="12.75">
      <c r="A691" s="428" t="s">
        <v>1148</v>
      </c>
      <c r="B691" s="429"/>
      <c r="C691" s="429"/>
      <c r="D691" s="429"/>
      <c r="E691" s="429"/>
      <c r="F691" s="429"/>
      <c r="G691" s="429"/>
      <c r="H691" s="429"/>
      <c r="I691" s="429"/>
      <c r="J691" s="429"/>
      <c r="K691" s="429"/>
      <c r="L691" s="429"/>
      <c r="M691" s="429"/>
      <c r="N691" s="429"/>
      <c r="O691" s="429"/>
      <c r="P691" s="429"/>
      <c r="Q691" s="429"/>
      <c r="R691" s="429"/>
    </row>
    <row r="692" spans="1:18">
      <c r="A692" s="237">
        <v>60.1</v>
      </c>
      <c r="B692" s="232" t="s">
        <v>1149</v>
      </c>
      <c r="C692" s="238" t="s">
        <v>1150</v>
      </c>
      <c r="D692" s="239">
        <v>62.82</v>
      </c>
      <c r="E692" s="239">
        <v>62.82</v>
      </c>
      <c r="F692" s="239"/>
      <c r="G692" s="239"/>
      <c r="H692" s="240">
        <v>819.79</v>
      </c>
      <c r="I692" s="240">
        <v>819.79</v>
      </c>
      <c r="J692" s="240"/>
      <c r="K692" s="240"/>
      <c r="L692" s="357">
        <v>13.049824896529767</v>
      </c>
      <c r="M692" s="357">
        <v>13.05</v>
      </c>
      <c r="N692" s="357" t="s">
        <v>135</v>
      </c>
      <c r="O692" s="357" t="s">
        <v>135</v>
      </c>
      <c r="P692" s="241"/>
      <c r="Q692" s="241"/>
      <c r="R692" s="241">
        <v>1</v>
      </c>
    </row>
    <row r="693" spans="1:18">
      <c r="A693" s="237">
        <v>60.2</v>
      </c>
      <c r="B693" s="232" t="s">
        <v>1151</v>
      </c>
      <c r="C693" s="238" t="s">
        <v>1152</v>
      </c>
      <c r="D693" s="239">
        <v>76.010000000000005</v>
      </c>
      <c r="E693" s="239">
        <v>76.010000000000005</v>
      </c>
      <c r="F693" s="239"/>
      <c r="G693" s="239"/>
      <c r="H693" s="240">
        <v>991.96</v>
      </c>
      <c r="I693" s="240">
        <v>991.96</v>
      </c>
      <c r="J693" s="240"/>
      <c r="K693" s="240"/>
      <c r="L693" s="357">
        <v>13.050388106828049</v>
      </c>
      <c r="M693" s="357">
        <v>13.05</v>
      </c>
      <c r="N693" s="357" t="s">
        <v>135</v>
      </c>
      <c r="O693" s="357" t="s">
        <v>135</v>
      </c>
      <c r="P693" s="241"/>
      <c r="Q693" s="241"/>
      <c r="R693" s="241">
        <v>1</v>
      </c>
    </row>
    <row r="694" spans="1:18">
      <c r="A694" s="237">
        <v>60.3</v>
      </c>
      <c r="B694" s="232" t="s">
        <v>1153</v>
      </c>
      <c r="C694" s="238" t="s">
        <v>1154</v>
      </c>
      <c r="D694" s="239">
        <v>56.57</v>
      </c>
      <c r="E694" s="239">
        <v>56.57</v>
      </c>
      <c r="F694" s="239"/>
      <c r="G694" s="239"/>
      <c r="H694" s="240">
        <v>738.29</v>
      </c>
      <c r="I694" s="240">
        <v>738.29</v>
      </c>
      <c r="J694" s="240"/>
      <c r="K694" s="240"/>
      <c r="L694" s="357">
        <v>13.050910376524659</v>
      </c>
      <c r="M694" s="357">
        <v>13.05</v>
      </c>
      <c r="N694" s="357" t="s">
        <v>135</v>
      </c>
      <c r="O694" s="357" t="s">
        <v>135</v>
      </c>
      <c r="P694" s="241"/>
      <c r="Q694" s="241"/>
      <c r="R694" s="241">
        <v>1</v>
      </c>
    </row>
    <row r="695" spans="1:18">
      <c r="A695" s="237">
        <v>60.4</v>
      </c>
      <c r="B695" s="232" t="s">
        <v>1155</v>
      </c>
      <c r="C695" s="238" t="s">
        <v>1156</v>
      </c>
      <c r="D695" s="239">
        <v>60.64</v>
      </c>
      <c r="E695" s="239">
        <v>60.64</v>
      </c>
      <c r="F695" s="239"/>
      <c r="G695" s="239"/>
      <c r="H695" s="240">
        <v>791.34</v>
      </c>
      <c r="I695" s="240">
        <v>791.34</v>
      </c>
      <c r="J695" s="240"/>
      <c r="K695" s="240"/>
      <c r="L695" s="357">
        <v>13.049802110817943</v>
      </c>
      <c r="M695" s="357">
        <v>13.05</v>
      </c>
      <c r="N695" s="357" t="s">
        <v>135</v>
      </c>
      <c r="O695" s="357" t="s">
        <v>135</v>
      </c>
      <c r="P695" s="241"/>
      <c r="Q695" s="241"/>
      <c r="R695" s="241">
        <v>1</v>
      </c>
    </row>
    <row r="696" spans="1:18" ht="24">
      <c r="A696" s="242">
        <v>60.5</v>
      </c>
      <c r="B696" s="243" t="s">
        <v>1157</v>
      </c>
      <c r="C696" s="244" t="s">
        <v>1158</v>
      </c>
      <c r="D696" s="245">
        <v>73.02</v>
      </c>
      <c r="E696" s="245">
        <v>73.02</v>
      </c>
      <c r="F696" s="245"/>
      <c r="G696" s="245"/>
      <c r="H696" s="246">
        <v>952.93</v>
      </c>
      <c r="I696" s="246">
        <v>952.93</v>
      </c>
      <c r="J696" s="246"/>
      <c r="K696" s="246"/>
      <c r="L696" s="356">
        <v>13.050260202684196</v>
      </c>
      <c r="M696" s="356">
        <v>13.05</v>
      </c>
      <c r="N696" s="356" t="s">
        <v>135</v>
      </c>
      <c r="O696" s="356" t="s">
        <v>135</v>
      </c>
      <c r="P696" s="247"/>
      <c r="Q696" s="247"/>
      <c r="R696" s="247">
        <v>1</v>
      </c>
    </row>
    <row r="697" spans="1:18" ht="12.75">
      <c r="A697" s="428" t="s">
        <v>1159</v>
      </c>
      <c r="B697" s="429"/>
      <c r="C697" s="429"/>
      <c r="D697" s="429"/>
      <c r="E697" s="429"/>
      <c r="F697" s="429"/>
      <c r="G697" s="429"/>
      <c r="H697" s="429"/>
      <c r="I697" s="429"/>
      <c r="J697" s="429"/>
      <c r="K697" s="429"/>
      <c r="L697" s="429"/>
      <c r="M697" s="429"/>
      <c r="N697" s="429"/>
      <c r="O697" s="429"/>
      <c r="P697" s="429"/>
      <c r="Q697" s="429"/>
      <c r="R697" s="429"/>
    </row>
    <row r="698" spans="1:18" ht="24">
      <c r="A698" s="237">
        <v>60.6</v>
      </c>
      <c r="B698" s="232" t="s">
        <v>1160</v>
      </c>
      <c r="C698" s="238" t="s">
        <v>1161</v>
      </c>
      <c r="D698" s="239">
        <v>1750.94</v>
      </c>
      <c r="E698" s="239">
        <v>1605.23</v>
      </c>
      <c r="F698" s="239">
        <v>145.71</v>
      </c>
      <c r="G698" s="239"/>
      <c r="H698" s="240">
        <v>22054.58</v>
      </c>
      <c r="I698" s="240">
        <v>20948.54</v>
      </c>
      <c r="J698" s="240">
        <v>1106.04</v>
      </c>
      <c r="K698" s="240"/>
      <c r="L698" s="357">
        <v>12.595851371263436</v>
      </c>
      <c r="M698" s="357">
        <v>13.05</v>
      </c>
      <c r="N698" s="357">
        <v>7.5906938439365854</v>
      </c>
      <c r="O698" s="357" t="s">
        <v>135</v>
      </c>
      <c r="P698" s="241"/>
      <c r="Q698" s="241"/>
      <c r="R698" s="241">
        <v>2</v>
      </c>
    </row>
    <row r="699" spans="1:18" ht="24">
      <c r="A699" s="242">
        <v>60.7</v>
      </c>
      <c r="B699" s="243" t="s">
        <v>1162</v>
      </c>
      <c r="C699" s="244" t="s">
        <v>1163</v>
      </c>
      <c r="D699" s="245">
        <v>988.36</v>
      </c>
      <c r="E699" s="245">
        <v>921.73</v>
      </c>
      <c r="F699" s="245">
        <v>66.63</v>
      </c>
      <c r="G699" s="245"/>
      <c r="H699" s="246">
        <v>12534.6</v>
      </c>
      <c r="I699" s="246">
        <v>12028.82</v>
      </c>
      <c r="J699" s="246">
        <v>505.78</v>
      </c>
      <c r="K699" s="246"/>
      <c r="L699" s="356">
        <v>12.682221053057591</v>
      </c>
      <c r="M699" s="356">
        <v>13.05</v>
      </c>
      <c r="N699" s="356">
        <v>7.5908749812396819</v>
      </c>
      <c r="O699" s="356" t="s">
        <v>135</v>
      </c>
      <c r="P699" s="247"/>
      <c r="Q699" s="247"/>
      <c r="R699" s="247">
        <v>2</v>
      </c>
    </row>
    <row r="700" spans="1:18" ht="12.75">
      <c r="A700" s="428" t="s">
        <v>1164</v>
      </c>
      <c r="B700" s="429"/>
      <c r="C700" s="429"/>
      <c r="D700" s="429"/>
      <c r="E700" s="429"/>
      <c r="F700" s="429"/>
      <c r="G700" s="429"/>
      <c r="H700" s="429"/>
      <c r="I700" s="429"/>
      <c r="J700" s="429"/>
      <c r="K700" s="429"/>
      <c r="L700" s="429"/>
      <c r="M700" s="429"/>
      <c r="N700" s="429"/>
      <c r="O700" s="429"/>
      <c r="P700" s="429"/>
      <c r="Q700" s="429"/>
      <c r="R700" s="429"/>
    </row>
    <row r="701" spans="1:18">
      <c r="A701" s="237">
        <v>60.8</v>
      </c>
      <c r="B701" s="232" t="s">
        <v>1165</v>
      </c>
      <c r="C701" s="238" t="s">
        <v>1166</v>
      </c>
      <c r="D701" s="239">
        <v>2352.1999999999998</v>
      </c>
      <c r="E701" s="239">
        <v>1995.32</v>
      </c>
      <c r="F701" s="239">
        <v>4.1900000000000004</v>
      </c>
      <c r="G701" s="239">
        <v>352.69</v>
      </c>
      <c r="H701" s="240">
        <v>28716.18</v>
      </c>
      <c r="I701" s="240">
        <v>26038.49</v>
      </c>
      <c r="J701" s="240">
        <v>16.559999999999999</v>
      </c>
      <c r="K701" s="240">
        <v>2661.13</v>
      </c>
      <c r="L701" s="357">
        <v>12.208222089958339</v>
      </c>
      <c r="M701" s="357">
        <v>13.05</v>
      </c>
      <c r="N701" s="357">
        <v>3.9522673031026248</v>
      </c>
      <c r="O701" s="357">
        <v>7.5452380277297344</v>
      </c>
      <c r="P701" s="241"/>
      <c r="Q701" s="241"/>
      <c r="R701" s="241">
        <v>3</v>
      </c>
    </row>
    <row r="702" spans="1:18">
      <c r="A702" s="242">
        <v>60.9</v>
      </c>
      <c r="B702" s="243" t="s">
        <v>1167</v>
      </c>
      <c r="C702" s="244" t="s">
        <v>1168</v>
      </c>
      <c r="D702" s="245">
        <v>1673.07</v>
      </c>
      <c r="E702" s="245">
        <v>1498.89</v>
      </c>
      <c r="F702" s="245">
        <v>3.08</v>
      </c>
      <c r="G702" s="245">
        <v>171.1</v>
      </c>
      <c r="H702" s="246">
        <v>20918.060000000001</v>
      </c>
      <c r="I702" s="246">
        <v>19560.63</v>
      </c>
      <c r="J702" s="246">
        <v>12.15</v>
      </c>
      <c r="K702" s="246">
        <v>1345.28</v>
      </c>
      <c r="L702" s="356">
        <v>12.502800241472265</v>
      </c>
      <c r="M702" s="356">
        <v>13.05</v>
      </c>
      <c r="N702" s="356">
        <v>3.9448051948051948</v>
      </c>
      <c r="O702" s="356">
        <v>7.8625365283459967</v>
      </c>
      <c r="P702" s="247"/>
      <c r="Q702" s="247"/>
      <c r="R702" s="247">
        <v>3</v>
      </c>
    </row>
    <row r="703" spans="1:18" ht="12.75">
      <c r="A703" s="428" t="s">
        <v>1169</v>
      </c>
      <c r="B703" s="429"/>
      <c r="C703" s="429"/>
      <c r="D703" s="429"/>
      <c r="E703" s="429"/>
      <c r="F703" s="429"/>
      <c r="G703" s="429"/>
      <c r="H703" s="429"/>
      <c r="I703" s="429"/>
      <c r="J703" s="429"/>
      <c r="K703" s="429"/>
      <c r="L703" s="429"/>
      <c r="M703" s="429"/>
      <c r="N703" s="429"/>
      <c r="O703" s="429"/>
      <c r="P703" s="429"/>
      <c r="Q703" s="429"/>
      <c r="R703" s="429"/>
    </row>
    <row r="704" spans="1:18">
      <c r="A704" s="237">
        <v>60.1</v>
      </c>
      <c r="B704" s="232" t="s">
        <v>1170</v>
      </c>
      <c r="C704" s="238" t="s">
        <v>1171</v>
      </c>
      <c r="D704" s="239">
        <v>6147.86</v>
      </c>
      <c r="E704" s="239">
        <v>5953.4</v>
      </c>
      <c r="F704" s="239">
        <v>4.25</v>
      </c>
      <c r="G704" s="239">
        <v>190.21</v>
      </c>
      <c r="H704" s="240">
        <v>79206.509999999995</v>
      </c>
      <c r="I704" s="240">
        <v>77694.2</v>
      </c>
      <c r="J704" s="240">
        <v>16.8</v>
      </c>
      <c r="K704" s="240">
        <v>1495.51</v>
      </c>
      <c r="L704" s="357">
        <v>12.883590387549489</v>
      </c>
      <c r="M704" s="357">
        <v>13.05</v>
      </c>
      <c r="N704" s="357">
        <v>3.9529411764705884</v>
      </c>
      <c r="O704" s="357">
        <v>7.8624152252773243</v>
      </c>
      <c r="P704" s="241"/>
      <c r="Q704" s="241"/>
      <c r="R704" s="241">
        <v>4</v>
      </c>
    </row>
    <row r="705" spans="1:18" ht="24">
      <c r="A705" s="237">
        <v>60.11</v>
      </c>
      <c r="B705" s="232" t="s">
        <v>1172</v>
      </c>
      <c r="C705" s="238" t="s">
        <v>1173</v>
      </c>
      <c r="D705" s="239">
        <v>2030.18</v>
      </c>
      <c r="E705" s="239">
        <v>1835.72</v>
      </c>
      <c r="F705" s="239">
        <v>4.25</v>
      </c>
      <c r="G705" s="239">
        <v>190.21</v>
      </c>
      <c r="H705" s="240">
        <v>25469.19</v>
      </c>
      <c r="I705" s="240">
        <v>23956.880000000001</v>
      </c>
      <c r="J705" s="240">
        <v>16.8</v>
      </c>
      <c r="K705" s="240">
        <v>1495.51</v>
      </c>
      <c r="L705" s="357">
        <v>12.545286624831295</v>
      </c>
      <c r="M705" s="357">
        <v>13.05</v>
      </c>
      <c r="N705" s="357">
        <v>3.9529411764705884</v>
      </c>
      <c r="O705" s="357">
        <v>7.8624152252773243</v>
      </c>
      <c r="P705" s="241"/>
      <c r="Q705" s="241"/>
      <c r="R705" s="241">
        <v>4</v>
      </c>
    </row>
    <row r="706" spans="1:18">
      <c r="A706" s="237">
        <v>60.12</v>
      </c>
      <c r="B706" s="232" t="s">
        <v>1174</v>
      </c>
      <c r="C706" s="238" t="s">
        <v>1175</v>
      </c>
      <c r="D706" s="239">
        <v>6485.15</v>
      </c>
      <c r="E706" s="239">
        <v>6290.69</v>
      </c>
      <c r="F706" s="239">
        <v>4.25</v>
      </c>
      <c r="G706" s="239">
        <v>190.21</v>
      </c>
      <c r="H706" s="240">
        <v>83606.179999999993</v>
      </c>
      <c r="I706" s="240">
        <v>82093.87</v>
      </c>
      <c r="J706" s="240">
        <v>16.8</v>
      </c>
      <c r="K706" s="240">
        <v>1495.51</v>
      </c>
      <c r="L706" s="357">
        <v>12.891942360623887</v>
      </c>
      <c r="M706" s="357">
        <v>13.05</v>
      </c>
      <c r="N706" s="357">
        <v>3.9529411764705884</v>
      </c>
      <c r="O706" s="357">
        <v>7.8624152252773243</v>
      </c>
      <c r="P706" s="241"/>
      <c r="Q706" s="241"/>
      <c r="R706" s="241">
        <v>4</v>
      </c>
    </row>
    <row r="707" spans="1:18" ht="24">
      <c r="A707" s="237">
        <v>60.13</v>
      </c>
      <c r="B707" s="232" t="s">
        <v>1176</v>
      </c>
      <c r="C707" s="238" t="s">
        <v>1177</v>
      </c>
      <c r="D707" s="239">
        <v>3329.12</v>
      </c>
      <c r="E707" s="239">
        <v>3134.66</v>
      </c>
      <c r="F707" s="239">
        <v>4.25</v>
      </c>
      <c r="G707" s="239">
        <v>190.21</v>
      </c>
      <c r="H707" s="240">
        <v>42419.27</v>
      </c>
      <c r="I707" s="240">
        <v>40906.959999999999</v>
      </c>
      <c r="J707" s="240">
        <v>16.8</v>
      </c>
      <c r="K707" s="240">
        <v>1495.51</v>
      </c>
      <c r="L707" s="357">
        <v>12.741886744845484</v>
      </c>
      <c r="M707" s="357">
        <v>13.05</v>
      </c>
      <c r="N707" s="357">
        <v>3.9529411764705884</v>
      </c>
      <c r="O707" s="357">
        <v>7.8624152252773243</v>
      </c>
      <c r="P707" s="241"/>
      <c r="Q707" s="241"/>
      <c r="R707" s="241">
        <v>4</v>
      </c>
    </row>
    <row r="708" spans="1:18" ht="24">
      <c r="A708" s="237">
        <v>60.14</v>
      </c>
      <c r="B708" s="232" t="s">
        <v>1178</v>
      </c>
      <c r="C708" s="238" t="s">
        <v>1179</v>
      </c>
      <c r="D708" s="239">
        <v>2592.65</v>
      </c>
      <c r="E708" s="239">
        <v>2398.19</v>
      </c>
      <c r="F708" s="239">
        <v>4.25</v>
      </c>
      <c r="G708" s="239">
        <v>190.21</v>
      </c>
      <c r="H708" s="240">
        <v>32808.410000000003</v>
      </c>
      <c r="I708" s="240">
        <v>31296.1</v>
      </c>
      <c r="J708" s="240">
        <v>16.8</v>
      </c>
      <c r="K708" s="240">
        <v>1495.51</v>
      </c>
      <c r="L708" s="357">
        <v>12.654392224172179</v>
      </c>
      <c r="M708" s="357">
        <v>13.05</v>
      </c>
      <c r="N708" s="357">
        <v>3.9529411764705884</v>
      </c>
      <c r="O708" s="357">
        <v>7.8624152252773243</v>
      </c>
      <c r="P708" s="241"/>
      <c r="Q708" s="241"/>
      <c r="R708" s="241">
        <v>4</v>
      </c>
    </row>
    <row r="709" spans="1:18" ht="24">
      <c r="A709" s="242">
        <v>60.15</v>
      </c>
      <c r="B709" s="243" t="s">
        <v>1180</v>
      </c>
      <c r="C709" s="244" t="s">
        <v>1181</v>
      </c>
      <c r="D709" s="245">
        <v>1649.09</v>
      </c>
      <c r="E709" s="245">
        <v>1454.63</v>
      </c>
      <c r="F709" s="245">
        <v>4.25</v>
      </c>
      <c r="G709" s="245">
        <v>190.21</v>
      </c>
      <c r="H709" s="246">
        <v>20495.53</v>
      </c>
      <c r="I709" s="246">
        <v>18983.22</v>
      </c>
      <c r="J709" s="246">
        <v>16.8</v>
      </c>
      <c r="K709" s="246">
        <v>1495.51</v>
      </c>
      <c r="L709" s="356">
        <v>12.428387777501531</v>
      </c>
      <c r="M709" s="356">
        <v>13.05</v>
      </c>
      <c r="N709" s="356">
        <v>3.9529411764705884</v>
      </c>
      <c r="O709" s="356">
        <v>7.8624152252773243</v>
      </c>
      <c r="P709" s="247"/>
      <c r="Q709" s="247"/>
      <c r="R709" s="247">
        <v>4</v>
      </c>
    </row>
    <row r="710" spans="1:18" ht="12.75">
      <c r="A710" s="428" t="s">
        <v>1182</v>
      </c>
      <c r="B710" s="429"/>
      <c r="C710" s="429"/>
      <c r="D710" s="429"/>
      <c r="E710" s="429"/>
      <c r="F710" s="429"/>
      <c r="G710" s="429"/>
      <c r="H710" s="429"/>
      <c r="I710" s="429"/>
      <c r="J710" s="429"/>
      <c r="K710" s="429"/>
      <c r="L710" s="429"/>
      <c r="M710" s="429"/>
      <c r="N710" s="429"/>
      <c r="O710" s="429"/>
      <c r="P710" s="429"/>
      <c r="Q710" s="429"/>
      <c r="R710" s="429"/>
    </row>
    <row r="711" spans="1:18">
      <c r="A711" s="237">
        <v>60.16</v>
      </c>
      <c r="B711" s="232" t="s">
        <v>1183</v>
      </c>
      <c r="C711" s="238" t="s">
        <v>1184</v>
      </c>
      <c r="D711" s="239">
        <v>3692.56</v>
      </c>
      <c r="E711" s="239">
        <v>3485.06</v>
      </c>
      <c r="F711" s="239">
        <v>7.52</v>
      </c>
      <c r="G711" s="239">
        <v>199.98</v>
      </c>
      <c r="H711" s="240">
        <v>47122.96</v>
      </c>
      <c r="I711" s="240">
        <v>45481.440000000002</v>
      </c>
      <c r="J711" s="240">
        <v>68.48</v>
      </c>
      <c r="K711" s="240">
        <v>1573.04</v>
      </c>
      <c r="L711" s="357">
        <v>12.761596290920121</v>
      </c>
      <c r="M711" s="357">
        <v>13.05</v>
      </c>
      <c r="N711" s="357">
        <v>9.1063829787234045</v>
      </c>
      <c r="O711" s="357">
        <v>7.865986598659866</v>
      </c>
      <c r="P711" s="241"/>
      <c r="Q711" s="241"/>
      <c r="R711" s="241">
        <v>5</v>
      </c>
    </row>
    <row r="712" spans="1:18">
      <c r="A712" s="237">
        <v>60.17</v>
      </c>
      <c r="B712" s="232" t="s">
        <v>1185</v>
      </c>
      <c r="C712" s="238" t="s">
        <v>1186</v>
      </c>
      <c r="D712" s="239">
        <v>9869.08</v>
      </c>
      <c r="E712" s="239">
        <v>9661.58</v>
      </c>
      <c r="F712" s="239">
        <v>7.52</v>
      </c>
      <c r="G712" s="239">
        <v>199.98</v>
      </c>
      <c r="H712" s="240">
        <v>127728.94</v>
      </c>
      <c r="I712" s="240">
        <v>126087.42</v>
      </c>
      <c r="J712" s="240">
        <v>68.48</v>
      </c>
      <c r="K712" s="240">
        <v>1573.04</v>
      </c>
      <c r="L712" s="357">
        <v>12.942335050480896</v>
      </c>
      <c r="M712" s="357">
        <v>13.05</v>
      </c>
      <c r="N712" s="357">
        <v>9.1063829787234045</v>
      </c>
      <c r="O712" s="357">
        <v>7.865986598659866</v>
      </c>
      <c r="P712" s="241"/>
      <c r="Q712" s="241"/>
      <c r="R712" s="241">
        <v>5</v>
      </c>
    </row>
    <row r="713" spans="1:18">
      <c r="A713" s="237">
        <v>60.18</v>
      </c>
      <c r="B713" s="232" t="s">
        <v>1187</v>
      </c>
      <c r="C713" s="238" t="s">
        <v>1188</v>
      </c>
      <c r="D713" s="239">
        <v>4082.62</v>
      </c>
      <c r="E713" s="239">
        <v>3624.38</v>
      </c>
      <c r="F713" s="239">
        <v>21.3</v>
      </c>
      <c r="G713" s="239">
        <v>436.94</v>
      </c>
      <c r="H713" s="240">
        <v>50929.07</v>
      </c>
      <c r="I713" s="240">
        <v>47299.62</v>
      </c>
      <c r="J713" s="240">
        <v>194.01</v>
      </c>
      <c r="K713" s="240">
        <v>3435.44</v>
      </c>
      <c r="L713" s="357">
        <v>12.474604543161009</v>
      </c>
      <c r="M713" s="357">
        <v>13.05</v>
      </c>
      <c r="N713" s="357">
        <v>9.1084507042253513</v>
      </c>
      <c r="O713" s="357">
        <v>7.8624982835171879</v>
      </c>
      <c r="P713" s="241"/>
      <c r="Q713" s="241"/>
      <c r="R713" s="241">
        <v>5</v>
      </c>
    </row>
    <row r="714" spans="1:18">
      <c r="A714" s="242">
        <v>60.19</v>
      </c>
      <c r="B714" s="243" t="s">
        <v>1189</v>
      </c>
      <c r="C714" s="244" t="s">
        <v>1190</v>
      </c>
      <c r="D714" s="245">
        <v>4590.0600000000004</v>
      </c>
      <c r="E714" s="245">
        <v>4131.82</v>
      </c>
      <c r="F714" s="245">
        <v>21.3</v>
      </c>
      <c r="G714" s="245">
        <v>436.94</v>
      </c>
      <c r="H714" s="246">
        <v>57551.28</v>
      </c>
      <c r="I714" s="246">
        <v>53921.83</v>
      </c>
      <c r="J714" s="246">
        <v>194.01</v>
      </c>
      <c r="K714" s="246">
        <v>3435.44</v>
      </c>
      <c r="L714" s="356">
        <v>12.538241330178689</v>
      </c>
      <c r="M714" s="356">
        <v>13.05</v>
      </c>
      <c r="N714" s="356">
        <v>9.1084507042253513</v>
      </c>
      <c r="O714" s="356">
        <v>7.8624982835171879</v>
      </c>
      <c r="P714" s="247"/>
      <c r="Q714" s="247"/>
      <c r="R714" s="247">
        <v>5</v>
      </c>
    </row>
    <row r="715" spans="1:18" ht="12.75">
      <c r="A715" s="428" t="s">
        <v>1191</v>
      </c>
      <c r="B715" s="429"/>
      <c r="C715" s="429"/>
      <c r="D715" s="429"/>
      <c r="E715" s="429"/>
      <c r="F715" s="429"/>
      <c r="G715" s="429"/>
      <c r="H715" s="429"/>
      <c r="I715" s="429"/>
      <c r="J715" s="429"/>
      <c r="K715" s="429"/>
      <c r="L715" s="429"/>
      <c r="M715" s="429"/>
      <c r="N715" s="429"/>
      <c r="O715" s="429"/>
      <c r="P715" s="429"/>
      <c r="Q715" s="429"/>
      <c r="R715" s="429"/>
    </row>
    <row r="716" spans="1:18" ht="24">
      <c r="A716" s="237">
        <v>60.2</v>
      </c>
      <c r="B716" s="232" t="s">
        <v>1192</v>
      </c>
      <c r="C716" s="238" t="s">
        <v>1193</v>
      </c>
      <c r="D716" s="239">
        <v>67097.759999999995</v>
      </c>
      <c r="E716" s="239">
        <v>2280.0100000000002</v>
      </c>
      <c r="F716" s="239">
        <v>180.4</v>
      </c>
      <c r="G716" s="239">
        <v>64637.35</v>
      </c>
      <c r="H716" s="240">
        <v>350253.11</v>
      </c>
      <c r="I716" s="240">
        <v>29754.28</v>
      </c>
      <c r="J716" s="240">
        <v>1643.41</v>
      </c>
      <c r="K716" s="240">
        <v>318855.42</v>
      </c>
      <c r="L716" s="357">
        <v>5.2200417718862751</v>
      </c>
      <c r="M716" s="357">
        <v>13.05</v>
      </c>
      <c r="N716" s="357">
        <v>9.1098115299334808</v>
      </c>
      <c r="O716" s="357">
        <v>4.9329902912170747</v>
      </c>
      <c r="P716" s="241"/>
      <c r="Q716" s="241"/>
      <c r="R716" s="241">
        <v>6</v>
      </c>
    </row>
    <row r="717" spans="1:18" ht="24">
      <c r="A717" s="237">
        <v>60.21</v>
      </c>
      <c r="B717" s="232" t="s">
        <v>1194</v>
      </c>
      <c r="C717" s="238" t="s">
        <v>1195</v>
      </c>
      <c r="D717" s="239">
        <v>162062.22</v>
      </c>
      <c r="E717" s="239">
        <v>2888.46</v>
      </c>
      <c r="F717" s="239">
        <v>195.44</v>
      </c>
      <c r="G717" s="239">
        <v>158978.32</v>
      </c>
      <c r="H717" s="240">
        <v>824239.53</v>
      </c>
      <c r="I717" s="240">
        <v>37694.51</v>
      </c>
      <c r="J717" s="240">
        <v>1780.37</v>
      </c>
      <c r="K717" s="240">
        <v>784764.65</v>
      </c>
      <c r="L717" s="357">
        <v>5.0859449537344359</v>
      </c>
      <c r="M717" s="357">
        <v>13.05</v>
      </c>
      <c r="N717" s="357">
        <v>9.1095476872697496</v>
      </c>
      <c r="O717" s="357">
        <v>4.9362998049042162</v>
      </c>
      <c r="P717" s="241"/>
      <c r="Q717" s="241"/>
      <c r="R717" s="241">
        <v>6</v>
      </c>
    </row>
    <row r="718" spans="1:18" ht="24">
      <c r="A718" s="242">
        <v>60.22</v>
      </c>
      <c r="B718" s="243" t="s">
        <v>1196</v>
      </c>
      <c r="C718" s="244" t="s">
        <v>1197</v>
      </c>
      <c r="D718" s="245">
        <v>262020.83</v>
      </c>
      <c r="E718" s="245">
        <v>4147.13</v>
      </c>
      <c r="F718" s="245">
        <v>215.48</v>
      </c>
      <c r="G718" s="245">
        <v>257658.22</v>
      </c>
      <c r="H718" s="246">
        <v>1327187.5900000001</v>
      </c>
      <c r="I718" s="246">
        <v>54120.2</v>
      </c>
      <c r="J718" s="246">
        <v>1962.97</v>
      </c>
      <c r="K718" s="246">
        <v>1271104.42</v>
      </c>
      <c r="L718" s="356">
        <v>5.065198785913319</v>
      </c>
      <c r="M718" s="356">
        <v>13.05</v>
      </c>
      <c r="N718" s="356">
        <v>9.1097549656580661</v>
      </c>
      <c r="O718" s="356">
        <v>4.9332965973295941</v>
      </c>
      <c r="P718" s="247"/>
      <c r="Q718" s="247"/>
      <c r="R718" s="247">
        <v>6</v>
      </c>
    </row>
    <row r="719" spans="1:18" ht="12.75">
      <c r="A719" s="428" t="s">
        <v>1198</v>
      </c>
      <c r="B719" s="429"/>
      <c r="C719" s="429"/>
      <c r="D719" s="429"/>
      <c r="E719" s="429"/>
      <c r="F719" s="429"/>
      <c r="G719" s="429"/>
      <c r="H719" s="429"/>
      <c r="I719" s="429"/>
      <c r="J719" s="429"/>
      <c r="K719" s="429"/>
      <c r="L719" s="429"/>
      <c r="M719" s="429"/>
      <c r="N719" s="429"/>
      <c r="O719" s="429"/>
      <c r="P719" s="429"/>
      <c r="Q719" s="429"/>
      <c r="R719" s="429"/>
    </row>
    <row r="720" spans="1:18" ht="36">
      <c r="A720" s="237">
        <v>60.23</v>
      </c>
      <c r="B720" s="232" t="s">
        <v>1199</v>
      </c>
      <c r="C720" s="238" t="s">
        <v>1200</v>
      </c>
      <c r="D720" s="239">
        <v>6101.81</v>
      </c>
      <c r="E720" s="239">
        <v>5777.22</v>
      </c>
      <c r="F720" s="239">
        <v>77.47</v>
      </c>
      <c r="G720" s="239">
        <v>247.12</v>
      </c>
      <c r="H720" s="240">
        <v>78000.740000000005</v>
      </c>
      <c r="I720" s="240">
        <v>75393.009999999995</v>
      </c>
      <c r="J720" s="240">
        <v>658.49</v>
      </c>
      <c r="K720" s="240">
        <v>1949.24</v>
      </c>
      <c r="L720" s="357">
        <v>12.783213505500827</v>
      </c>
      <c r="M720" s="357">
        <v>13.05</v>
      </c>
      <c r="N720" s="357">
        <v>8.4999354588873111</v>
      </c>
      <c r="O720" s="357">
        <v>7.8878277759792814</v>
      </c>
      <c r="P720" s="241"/>
      <c r="Q720" s="241"/>
      <c r="R720" s="241">
        <v>7</v>
      </c>
    </row>
    <row r="721" spans="1:18" ht="24">
      <c r="A721" s="237">
        <v>60.24</v>
      </c>
      <c r="B721" s="232" t="s">
        <v>1201</v>
      </c>
      <c r="C721" s="238" t="s">
        <v>1202</v>
      </c>
      <c r="D721" s="239">
        <v>3399.31</v>
      </c>
      <c r="E721" s="239">
        <v>3265.39</v>
      </c>
      <c r="F721" s="239">
        <v>35.58</v>
      </c>
      <c r="G721" s="239">
        <v>98.34</v>
      </c>
      <c r="H721" s="240">
        <v>43696.35</v>
      </c>
      <c r="I721" s="240">
        <v>42613.440000000002</v>
      </c>
      <c r="J721" s="240">
        <v>302.39</v>
      </c>
      <c r="K721" s="240">
        <v>780.52</v>
      </c>
      <c r="L721" s="357">
        <v>12.854476349612128</v>
      </c>
      <c r="M721" s="357">
        <v>13.05</v>
      </c>
      <c r="N721" s="357">
        <v>8.4988757729061266</v>
      </c>
      <c r="O721" s="357">
        <v>7.936953426886312</v>
      </c>
      <c r="P721" s="241"/>
      <c r="Q721" s="241"/>
      <c r="R721" s="241">
        <v>7</v>
      </c>
    </row>
    <row r="722" spans="1:18" ht="24">
      <c r="A722" s="237">
        <v>60.25</v>
      </c>
      <c r="B722" s="232" t="s">
        <v>1203</v>
      </c>
      <c r="C722" s="238" t="s">
        <v>1204</v>
      </c>
      <c r="D722" s="239">
        <v>6583.29</v>
      </c>
      <c r="E722" s="239">
        <v>6196.74</v>
      </c>
      <c r="F722" s="239">
        <v>139.43</v>
      </c>
      <c r="G722" s="239">
        <v>247.12</v>
      </c>
      <c r="H722" s="240">
        <v>84001.02</v>
      </c>
      <c r="I722" s="240">
        <v>80867.8</v>
      </c>
      <c r="J722" s="240">
        <v>1183.98</v>
      </c>
      <c r="K722" s="240">
        <v>1949.24</v>
      </c>
      <c r="L722" s="357">
        <v>12.759732595708225</v>
      </c>
      <c r="M722" s="357">
        <v>13.05</v>
      </c>
      <c r="N722" s="357">
        <v>8.4915728322455717</v>
      </c>
      <c r="O722" s="357">
        <v>7.8878277759792814</v>
      </c>
      <c r="P722" s="241"/>
      <c r="Q722" s="241"/>
      <c r="R722" s="241">
        <v>7</v>
      </c>
    </row>
    <row r="723" spans="1:18" ht="24">
      <c r="A723" s="237">
        <v>60.26</v>
      </c>
      <c r="B723" s="232" t="s">
        <v>1205</v>
      </c>
      <c r="C723" s="238" t="s">
        <v>1206</v>
      </c>
      <c r="D723" s="239">
        <v>3604.44</v>
      </c>
      <c r="E723" s="239">
        <v>3428.63</v>
      </c>
      <c r="F723" s="239">
        <v>77.47</v>
      </c>
      <c r="G723" s="239">
        <v>98.34</v>
      </c>
      <c r="H723" s="240">
        <v>46182.79</v>
      </c>
      <c r="I723" s="240">
        <v>44743.78</v>
      </c>
      <c r="J723" s="240">
        <v>658.49</v>
      </c>
      <c r="K723" s="240">
        <v>780.52</v>
      </c>
      <c r="L723" s="357">
        <v>12.812750385635495</v>
      </c>
      <c r="M723" s="357">
        <v>13.05</v>
      </c>
      <c r="N723" s="357">
        <v>8.4999354588873111</v>
      </c>
      <c r="O723" s="357">
        <v>7.936953426886312</v>
      </c>
      <c r="P723" s="241"/>
      <c r="Q723" s="241"/>
      <c r="R723" s="241">
        <v>7</v>
      </c>
    </row>
    <row r="724" spans="1:18" ht="36">
      <c r="A724" s="237">
        <v>60.27</v>
      </c>
      <c r="B724" s="232" t="s">
        <v>1207</v>
      </c>
      <c r="C724" s="238" t="s">
        <v>1208</v>
      </c>
      <c r="D724" s="239">
        <v>8685.36</v>
      </c>
      <c r="E724" s="239">
        <v>5762.24</v>
      </c>
      <c r="F724" s="239">
        <v>145.02000000000001</v>
      </c>
      <c r="G724" s="239">
        <v>2778.1</v>
      </c>
      <c r="H724" s="240">
        <v>93452.13</v>
      </c>
      <c r="I724" s="240">
        <v>75197.53</v>
      </c>
      <c r="J724" s="240">
        <v>1232.1099999999999</v>
      </c>
      <c r="K724" s="240">
        <v>17022.490000000002</v>
      </c>
      <c r="L724" s="357">
        <v>10.759730166625218</v>
      </c>
      <c r="M724" s="357">
        <v>13.05</v>
      </c>
      <c r="N724" s="357">
        <v>8.4961384636601842</v>
      </c>
      <c r="O724" s="357">
        <v>6.1273856232677018</v>
      </c>
      <c r="P724" s="241"/>
      <c r="Q724" s="241"/>
      <c r="R724" s="241">
        <v>7</v>
      </c>
    </row>
    <row r="725" spans="1:18" ht="24">
      <c r="A725" s="237">
        <v>60.28</v>
      </c>
      <c r="B725" s="232" t="s">
        <v>1209</v>
      </c>
      <c r="C725" s="238" t="s">
        <v>1210</v>
      </c>
      <c r="D725" s="239">
        <v>4819.26</v>
      </c>
      <c r="E725" s="239">
        <v>3265.39</v>
      </c>
      <c r="F725" s="239">
        <v>64.83</v>
      </c>
      <c r="G725" s="239">
        <v>1489.04</v>
      </c>
      <c r="H725" s="240">
        <v>52288.41</v>
      </c>
      <c r="I725" s="240">
        <v>42613.440000000002</v>
      </c>
      <c r="J725" s="240">
        <v>551.1</v>
      </c>
      <c r="K725" s="240">
        <v>9123.8700000000008</v>
      </c>
      <c r="L725" s="357">
        <v>10.849883592086751</v>
      </c>
      <c r="M725" s="357">
        <v>13.05</v>
      </c>
      <c r="N725" s="357">
        <v>8.5006941230911615</v>
      </c>
      <c r="O725" s="357">
        <v>6.1273505077096662</v>
      </c>
      <c r="P725" s="241"/>
      <c r="Q725" s="241"/>
      <c r="R725" s="241">
        <v>7</v>
      </c>
    </row>
    <row r="726" spans="1:18" ht="36">
      <c r="A726" s="237">
        <v>60.29</v>
      </c>
      <c r="B726" s="232" t="s">
        <v>1211</v>
      </c>
      <c r="C726" s="238" t="s">
        <v>1212</v>
      </c>
      <c r="D726" s="239">
        <v>9266.7000000000007</v>
      </c>
      <c r="E726" s="239">
        <v>6207.85</v>
      </c>
      <c r="F726" s="239">
        <v>280.11</v>
      </c>
      <c r="G726" s="239">
        <v>2778.74</v>
      </c>
      <c r="H726" s="240">
        <v>100419.59</v>
      </c>
      <c r="I726" s="240">
        <v>81012.75</v>
      </c>
      <c r="J726" s="240">
        <v>2379.37</v>
      </c>
      <c r="K726" s="240">
        <v>17027.47</v>
      </c>
      <c r="L726" s="357">
        <v>10.836607422275458</v>
      </c>
      <c r="M726" s="357">
        <v>13.05</v>
      </c>
      <c r="N726" s="357">
        <v>8.4944129092142369</v>
      </c>
      <c r="O726" s="357">
        <v>6.127766541669966</v>
      </c>
      <c r="P726" s="241"/>
      <c r="Q726" s="241"/>
      <c r="R726" s="241">
        <v>7</v>
      </c>
    </row>
    <row r="727" spans="1:18" ht="24">
      <c r="A727" s="242">
        <v>60.3</v>
      </c>
      <c r="B727" s="243" t="s">
        <v>1213</v>
      </c>
      <c r="C727" s="244" t="s">
        <v>1214</v>
      </c>
      <c r="D727" s="245">
        <v>5022.3999999999996</v>
      </c>
      <c r="E727" s="245">
        <v>3427.61</v>
      </c>
      <c r="F727" s="245">
        <v>105.11</v>
      </c>
      <c r="G727" s="245">
        <v>1489.68</v>
      </c>
      <c r="H727" s="246">
        <v>54752.33</v>
      </c>
      <c r="I727" s="246">
        <v>44730.48</v>
      </c>
      <c r="J727" s="246">
        <v>892.99</v>
      </c>
      <c r="K727" s="246">
        <v>9128.86</v>
      </c>
      <c r="L727" s="356">
        <v>10.901626712328769</v>
      </c>
      <c r="M727" s="356">
        <v>13.05</v>
      </c>
      <c r="N727" s="356">
        <v>8.495766340024737</v>
      </c>
      <c r="O727" s="356">
        <v>6.128067772944525</v>
      </c>
      <c r="P727" s="247"/>
      <c r="Q727" s="247"/>
      <c r="R727" s="247">
        <v>7</v>
      </c>
    </row>
    <row r="728" spans="1:18" ht="12.75">
      <c r="A728" s="428" t="s">
        <v>1215</v>
      </c>
      <c r="B728" s="429"/>
      <c r="C728" s="429"/>
      <c r="D728" s="429"/>
      <c r="E728" s="429"/>
      <c r="F728" s="429"/>
      <c r="G728" s="429"/>
      <c r="H728" s="429"/>
      <c r="I728" s="429"/>
      <c r="J728" s="429"/>
      <c r="K728" s="429"/>
      <c r="L728" s="429"/>
      <c r="M728" s="429"/>
      <c r="N728" s="429"/>
      <c r="O728" s="429"/>
      <c r="P728" s="429"/>
      <c r="Q728" s="429"/>
      <c r="R728" s="429"/>
    </row>
    <row r="729" spans="1:18" ht="24">
      <c r="A729" s="237">
        <v>60.31</v>
      </c>
      <c r="B729" s="232" t="s">
        <v>1216</v>
      </c>
      <c r="C729" s="238" t="s">
        <v>1217</v>
      </c>
      <c r="D729" s="239">
        <v>876.58</v>
      </c>
      <c r="E729" s="239">
        <v>760.03</v>
      </c>
      <c r="F729" s="239">
        <v>91.45</v>
      </c>
      <c r="G729" s="239">
        <v>25.1</v>
      </c>
      <c r="H729" s="240">
        <v>10948.66</v>
      </c>
      <c r="I729" s="240">
        <v>9918.19</v>
      </c>
      <c r="J729" s="240">
        <v>833.12</v>
      </c>
      <c r="K729" s="240">
        <v>197.35</v>
      </c>
      <c r="L729" s="357">
        <v>12.490200552145838</v>
      </c>
      <c r="M729" s="357">
        <v>13.05</v>
      </c>
      <c r="N729" s="357">
        <v>9.1101148168398023</v>
      </c>
      <c r="O729" s="357">
        <v>7.8625498007968124</v>
      </c>
      <c r="P729" s="241"/>
      <c r="Q729" s="241"/>
      <c r="R729" s="241">
        <v>8</v>
      </c>
    </row>
    <row r="730" spans="1:18" ht="24">
      <c r="A730" s="237">
        <v>60.32</v>
      </c>
      <c r="B730" s="232" t="s">
        <v>1218</v>
      </c>
      <c r="C730" s="238" t="s">
        <v>1219</v>
      </c>
      <c r="D730" s="239">
        <v>1122.06</v>
      </c>
      <c r="E730" s="239">
        <v>911.7</v>
      </c>
      <c r="F730" s="239">
        <v>162.86000000000001</v>
      </c>
      <c r="G730" s="239">
        <v>47.5</v>
      </c>
      <c r="H730" s="240">
        <v>13754.8</v>
      </c>
      <c r="I730" s="240">
        <v>11897.72</v>
      </c>
      <c r="J730" s="240">
        <v>1483.64</v>
      </c>
      <c r="K730" s="240">
        <v>373.44</v>
      </c>
      <c r="L730" s="357">
        <v>12.258524499581128</v>
      </c>
      <c r="M730" s="357">
        <v>13.05</v>
      </c>
      <c r="N730" s="357">
        <v>9.1099103524499565</v>
      </c>
      <c r="O730" s="357">
        <v>7.861894736842105</v>
      </c>
      <c r="P730" s="241"/>
      <c r="Q730" s="241"/>
      <c r="R730" s="241">
        <v>8</v>
      </c>
    </row>
    <row r="731" spans="1:18" ht="24">
      <c r="A731" s="242">
        <v>60.33</v>
      </c>
      <c r="B731" s="243" t="s">
        <v>1220</v>
      </c>
      <c r="C731" s="244" t="s">
        <v>1221</v>
      </c>
      <c r="D731" s="245">
        <v>1984.8</v>
      </c>
      <c r="E731" s="245">
        <v>1582.46</v>
      </c>
      <c r="F731" s="245">
        <v>311.95</v>
      </c>
      <c r="G731" s="245">
        <v>90.39</v>
      </c>
      <c r="H731" s="246">
        <v>24203.38</v>
      </c>
      <c r="I731" s="246">
        <v>20650.93</v>
      </c>
      <c r="J731" s="246">
        <v>2841.74</v>
      </c>
      <c r="K731" s="246">
        <v>710.71</v>
      </c>
      <c r="L731" s="356">
        <v>12.194367190648933</v>
      </c>
      <c r="M731" s="356">
        <v>13.05</v>
      </c>
      <c r="N731" s="356">
        <v>9.1096008975797407</v>
      </c>
      <c r="O731" s="356">
        <v>7.8627060515543761</v>
      </c>
      <c r="P731" s="247"/>
      <c r="Q731" s="247"/>
      <c r="R731" s="247">
        <v>8</v>
      </c>
    </row>
    <row r="732" spans="1:18" ht="12.75">
      <c r="A732" s="428" t="s">
        <v>1222</v>
      </c>
      <c r="B732" s="429"/>
      <c r="C732" s="429"/>
      <c r="D732" s="429"/>
      <c r="E732" s="429"/>
      <c r="F732" s="429"/>
      <c r="G732" s="429"/>
      <c r="H732" s="429"/>
      <c r="I732" s="429"/>
      <c r="J732" s="429"/>
      <c r="K732" s="429"/>
      <c r="L732" s="429"/>
      <c r="M732" s="429"/>
      <c r="N732" s="429"/>
      <c r="O732" s="429"/>
      <c r="P732" s="429"/>
      <c r="Q732" s="429"/>
      <c r="R732" s="429"/>
    </row>
    <row r="733" spans="1:18">
      <c r="A733" s="237">
        <v>60.34</v>
      </c>
      <c r="B733" s="232" t="s">
        <v>1223</v>
      </c>
      <c r="C733" s="238" t="s">
        <v>1224</v>
      </c>
      <c r="D733" s="239">
        <v>2037.87</v>
      </c>
      <c r="E733" s="239">
        <v>1857.7</v>
      </c>
      <c r="F733" s="239">
        <v>97.72</v>
      </c>
      <c r="G733" s="239">
        <v>82.45</v>
      </c>
      <c r="H733" s="240">
        <v>25782.99</v>
      </c>
      <c r="I733" s="240">
        <v>24242.49</v>
      </c>
      <c r="J733" s="240">
        <v>890.18</v>
      </c>
      <c r="K733" s="240">
        <v>650.32000000000005</v>
      </c>
      <c r="L733" s="357">
        <v>12.651930692340533</v>
      </c>
      <c r="M733" s="357">
        <v>13.05</v>
      </c>
      <c r="N733" s="357">
        <v>9.1094965206713052</v>
      </c>
      <c r="O733" s="357">
        <v>7.8874469375379022</v>
      </c>
      <c r="P733" s="241"/>
      <c r="Q733" s="241"/>
      <c r="R733" s="241">
        <v>9</v>
      </c>
    </row>
    <row r="734" spans="1:18">
      <c r="A734" s="237">
        <v>60.35</v>
      </c>
      <c r="B734" s="232" t="s">
        <v>1225</v>
      </c>
      <c r="C734" s="238" t="s">
        <v>1226</v>
      </c>
      <c r="D734" s="239">
        <v>4298.5600000000004</v>
      </c>
      <c r="E734" s="239">
        <v>2446.21</v>
      </c>
      <c r="F734" s="239">
        <v>132.80000000000001</v>
      </c>
      <c r="G734" s="239">
        <v>1719.55</v>
      </c>
      <c r="H734" s="240">
        <v>45263.15</v>
      </c>
      <c r="I734" s="240">
        <v>31923.18</v>
      </c>
      <c r="J734" s="240">
        <v>1209.74</v>
      </c>
      <c r="K734" s="240">
        <v>12130.23</v>
      </c>
      <c r="L734" s="357">
        <v>10.529840225563909</v>
      </c>
      <c r="M734" s="357">
        <v>13.05</v>
      </c>
      <c r="N734" s="357">
        <v>9.1094879518072283</v>
      </c>
      <c r="O734" s="357">
        <v>7.0543049053531446</v>
      </c>
      <c r="P734" s="241"/>
      <c r="Q734" s="241"/>
      <c r="R734" s="241">
        <v>9</v>
      </c>
    </row>
    <row r="735" spans="1:18" ht="24">
      <c r="A735" s="242">
        <v>60.36</v>
      </c>
      <c r="B735" s="243" t="s">
        <v>1227</v>
      </c>
      <c r="C735" s="244" t="s">
        <v>1228</v>
      </c>
      <c r="D735" s="245">
        <v>2005.73</v>
      </c>
      <c r="E735" s="245">
        <v>663.27</v>
      </c>
      <c r="F735" s="245">
        <v>51.36</v>
      </c>
      <c r="G735" s="245">
        <v>1291.0999999999999</v>
      </c>
      <c r="H735" s="246">
        <v>18214.669999999998</v>
      </c>
      <c r="I735" s="246">
        <v>8655.67</v>
      </c>
      <c r="J735" s="246">
        <v>467.92</v>
      </c>
      <c r="K735" s="246">
        <v>9091.08</v>
      </c>
      <c r="L735" s="356">
        <v>9.08131702671845</v>
      </c>
      <c r="M735" s="356">
        <v>13.05</v>
      </c>
      <c r="N735" s="356">
        <v>9.1105919003115261</v>
      </c>
      <c r="O735" s="356">
        <v>7.041344589884595</v>
      </c>
      <c r="P735" s="247"/>
      <c r="Q735" s="247"/>
      <c r="R735" s="247">
        <v>9</v>
      </c>
    </row>
    <row r="736" spans="1:18" ht="12.75">
      <c r="A736" s="428" t="s">
        <v>1229</v>
      </c>
      <c r="B736" s="429"/>
      <c r="C736" s="429"/>
      <c r="D736" s="429"/>
      <c r="E736" s="429"/>
      <c r="F736" s="429"/>
      <c r="G736" s="429"/>
      <c r="H736" s="429"/>
      <c r="I736" s="429"/>
      <c r="J736" s="429"/>
      <c r="K736" s="429"/>
      <c r="L736" s="429"/>
      <c r="M736" s="429"/>
      <c r="N736" s="429"/>
      <c r="O736" s="429"/>
      <c r="P736" s="429"/>
      <c r="Q736" s="429"/>
      <c r="R736" s="429"/>
    </row>
    <row r="737" spans="1:18">
      <c r="A737" s="237">
        <v>60.37</v>
      </c>
      <c r="B737" s="232" t="s">
        <v>1230</v>
      </c>
      <c r="C737" s="238" t="s">
        <v>1231</v>
      </c>
      <c r="D737" s="239">
        <v>193.1</v>
      </c>
      <c r="E737" s="239">
        <v>149.18</v>
      </c>
      <c r="F737" s="239">
        <v>10.02</v>
      </c>
      <c r="G737" s="239">
        <v>33.9</v>
      </c>
      <c r="H737" s="240">
        <v>2246.9</v>
      </c>
      <c r="I737" s="240">
        <v>1946.83</v>
      </c>
      <c r="J737" s="240">
        <v>91.3</v>
      </c>
      <c r="K737" s="240">
        <v>208.77</v>
      </c>
      <c r="L737" s="357">
        <v>11.635939927498706</v>
      </c>
      <c r="M737" s="357">
        <v>13.05</v>
      </c>
      <c r="N737" s="357">
        <v>9.1117764471057878</v>
      </c>
      <c r="O737" s="357">
        <v>6.1584070796460182</v>
      </c>
      <c r="P737" s="241"/>
      <c r="Q737" s="241"/>
      <c r="R737" s="241">
        <v>10</v>
      </c>
    </row>
    <row r="738" spans="1:18" ht="36">
      <c r="A738" s="237">
        <v>60.38</v>
      </c>
      <c r="B738" s="232" t="s">
        <v>1232</v>
      </c>
      <c r="C738" s="238" t="s">
        <v>1233</v>
      </c>
      <c r="D738" s="239">
        <v>2120.37</v>
      </c>
      <c r="E738" s="239">
        <v>1274.82</v>
      </c>
      <c r="F738" s="239">
        <v>122.77</v>
      </c>
      <c r="G738" s="239">
        <v>722.78</v>
      </c>
      <c r="H738" s="240">
        <v>22185.03</v>
      </c>
      <c r="I738" s="240">
        <v>16637.060000000001</v>
      </c>
      <c r="J738" s="240">
        <v>1118.43</v>
      </c>
      <c r="K738" s="240">
        <v>4429.54</v>
      </c>
      <c r="L738" s="357">
        <v>10.462810735862137</v>
      </c>
      <c r="M738" s="357">
        <v>13.05</v>
      </c>
      <c r="N738" s="357">
        <v>9.1099617170318492</v>
      </c>
      <c r="O738" s="357">
        <v>6.1284761614875896</v>
      </c>
      <c r="P738" s="241"/>
      <c r="Q738" s="241"/>
      <c r="R738" s="241">
        <v>10</v>
      </c>
    </row>
    <row r="739" spans="1:18" ht="36">
      <c r="A739" s="237">
        <v>60.39</v>
      </c>
      <c r="B739" s="232" t="s">
        <v>1234</v>
      </c>
      <c r="C739" s="238" t="s">
        <v>1235</v>
      </c>
      <c r="D739" s="239">
        <v>3366.1</v>
      </c>
      <c r="E739" s="239">
        <v>2044.93</v>
      </c>
      <c r="F739" s="239">
        <v>209.22</v>
      </c>
      <c r="G739" s="239">
        <v>1111.95</v>
      </c>
      <c r="H739" s="240">
        <v>35406.81</v>
      </c>
      <c r="I739" s="240">
        <v>26686.43</v>
      </c>
      <c r="J739" s="240">
        <v>1905.9</v>
      </c>
      <c r="K739" s="240">
        <v>6814.48</v>
      </c>
      <c r="L739" s="357">
        <v>10.518644722379014</v>
      </c>
      <c r="M739" s="357">
        <v>13.05</v>
      </c>
      <c r="N739" s="357">
        <v>9.1095497562374543</v>
      </c>
      <c r="O739" s="357">
        <v>6.12840505418409</v>
      </c>
      <c r="P739" s="241"/>
      <c r="Q739" s="241"/>
      <c r="R739" s="241">
        <v>10</v>
      </c>
    </row>
    <row r="740" spans="1:18" ht="24">
      <c r="A740" s="242">
        <v>60.4</v>
      </c>
      <c r="B740" s="243" t="s">
        <v>1236</v>
      </c>
      <c r="C740" s="244" t="s">
        <v>1237</v>
      </c>
      <c r="D740" s="245">
        <v>1036.77</v>
      </c>
      <c r="E740" s="245">
        <v>638</v>
      </c>
      <c r="F740" s="245">
        <v>65.150000000000006</v>
      </c>
      <c r="G740" s="245">
        <v>333.62</v>
      </c>
      <c r="H740" s="246">
        <v>10963.93</v>
      </c>
      <c r="I740" s="246">
        <v>8325.8799999999992</v>
      </c>
      <c r="J740" s="246">
        <v>593.46</v>
      </c>
      <c r="K740" s="246">
        <v>2044.59</v>
      </c>
      <c r="L740" s="356">
        <v>10.575084155598638</v>
      </c>
      <c r="M740" s="356">
        <v>13.05</v>
      </c>
      <c r="N740" s="356">
        <v>9.1091327705295466</v>
      </c>
      <c r="O740" s="356">
        <v>6.1284994904382231</v>
      </c>
      <c r="P740" s="247"/>
      <c r="Q740" s="247"/>
      <c r="R740" s="247">
        <v>10</v>
      </c>
    </row>
    <row r="741" spans="1:18" ht="12.75">
      <c r="A741" s="428" t="s">
        <v>1238</v>
      </c>
      <c r="B741" s="429"/>
      <c r="C741" s="429"/>
      <c r="D741" s="429"/>
      <c r="E741" s="429"/>
      <c r="F741" s="429"/>
      <c r="G741" s="429"/>
      <c r="H741" s="429"/>
      <c r="I741" s="429"/>
      <c r="J741" s="429"/>
      <c r="K741" s="429"/>
      <c r="L741" s="429"/>
      <c r="M741" s="429"/>
      <c r="N741" s="429"/>
      <c r="O741" s="429"/>
      <c r="P741" s="429"/>
      <c r="Q741" s="429"/>
      <c r="R741" s="429"/>
    </row>
    <row r="742" spans="1:18">
      <c r="A742" s="242">
        <v>60.41</v>
      </c>
      <c r="B742" s="243" t="s">
        <v>1239</v>
      </c>
      <c r="C742" s="244" t="s">
        <v>1240</v>
      </c>
      <c r="D742" s="245">
        <v>1452.95</v>
      </c>
      <c r="E742" s="245">
        <v>1427.5</v>
      </c>
      <c r="F742" s="245"/>
      <c r="G742" s="245">
        <v>25.45</v>
      </c>
      <c r="H742" s="246">
        <v>18825.22</v>
      </c>
      <c r="I742" s="246">
        <v>18628.689999999999</v>
      </c>
      <c r="J742" s="246"/>
      <c r="K742" s="246">
        <v>196.53</v>
      </c>
      <c r="L742" s="356">
        <v>12.956550466292715</v>
      </c>
      <c r="M742" s="356">
        <v>13.05</v>
      </c>
      <c r="N742" s="356" t="s">
        <v>135</v>
      </c>
      <c r="O742" s="356">
        <v>7.7222003929273084</v>
      </c>
      <c r="P742" s="247"/>
      <c r="Q742" s="247"/>
      <c r="R742" s="247">
        <v>11</v>
      </c>
    </row>
    <row r="743" spans="1:18" ht="12.75">
      <c r="A743" s="428" t="s">
        <v>1241</v>
      </c>
      <c r="B743" s="429"/>
      <c r="C743" s="429"/>
      <c r="D743" s="429"/>
      <c r="E743" s="429"/>
      <c r="F743" s="429"/>
      <c r="G743" s="429"/>
      <c r="H743" s="429"/>
      <c r="I743" s="429"/>
      <c r="J743" s="429"/>
      <c r="K743" s="429"/>
      <c r="L743" s="429"/>
      <c r="M743" s="429"/>
      <c r="N743" s="429"/>
      <c r="O743" s="429"/>
      <c r="P743" s="429"/>
      <c r="Q743" s="429"/>
      <c r="R743" s="429"/>
    </row>
    <row r="744" spans="1:18">
      <c r="A744" s="242">
        <v>60.42</v>
      </c>
      <c r="B744" s="243" t="s">
        <v>1242</v>
      </c>
      <c r="C744" s="244" t="s">
        <v>1243</v>
      </c>
      <c r="D744" s="245">
        <v>15.66</v>
      </c>
      <c r="E744" s="245">
        <v>14.9</v>
      </c>
      <c r="F744" s="245"/>
      <c r="G744" s="245">
        <v>0.76</v>
      </c>
      <c r="H744" s="246">
        <v>200.25</v>
      </c>
      <c r="I744" s="246">
        <v>194.43</v>
      </c>
      <c r="J744" s="246"/>
      <c r="K744" s="246">
        <v>5.82</v>
      </c>
      <c r="L744" s="356">
        <v>12.787356321839081</v>
      </c>
      <c r="M744" s="356">
        <v>13.05</v>
      </c>
      <c r="N744" s="356" t="s">
        <v>135</v>
      </c>
      <c r="O744" s="356">
        <v>7.6578947368421053</v>
      </c>
      <c r="P744" s="247"/>
      <c r="Q744" s="247"/>
      <c r="R744" s="247">
        <v>12</v>
      </c>
    </row>
    <row r="745" spans="1:18" ht="12.75">
      <c r="A745" s="428" t="s">
        <v>1244</v>
      </c>
      <c r="B745" s="429"/>
      <c r="C745" s="429"/>
      <c r="D745" s="429"/>
      <c r="E745" s="429"/>
      <c r="F745" s="429"/>
      <c r="G745" s="429"/>
      <c r="H745" s="429"/>
      <c r="I745" s="429"/>
      <c r="J745" s="429"/>
      <c r="K745" s="429"/>
      <c r="L745" s="429"/>
      <c r="M745" s="429"/>
      <c r="N745" s="429"/>
      <c r="O745" s="429"/>
      <c r="P745" s="429"/>
      <c r="Q745" s="429"/>
      <c r="R745" s="429"/>
    </row>
    <row r="746" spans="1:18">
      <c r="A746" s="237">
        <v>60.43</v>
      </c>
      <c r="B746" s="232" t="s">
        <v>1245</v>
      </c>
      <c r="C746" s="238" t="s">
        <v>1246</v>
      </c>
      <c r="D746" s="239">
        <v>6528.02</v>
      </c>
      <c r="E746" s="239">
        <v>2446.94</v>
      </c>
      <c r="F746" s="239">
        <v>42.6</v>
      </c>
      <c r="G746" s="239">
        <v>4038.48</v>
      </c>
      <c r="H746" s="240">
        <v>54010.41</v>
      </c>
      <c r="I746" s="240">
        <v>31932.83</v>
      </c>
      <c r="J746" s="240">
        <v>388.03</v>
      </c>
      <c r="K746" s="240">
        <v>21689.55</v>
      </c>
      <c r="L746" s="357">
        <v>8.2736281445216164</v>
      </c>
      <c r="M746" s="357">
        <v>13.05</v>
      </c>
      <c r="N746" s="357">
        <v>9.1086854460093889</v>
      </c>
      <c r="O746" s="357">
        <v>5.370721162417543</v>
      </c>
      <c r="P746" s="241"/>
      <c r="Q746" s="241"/>
      <c r="R746" s="241">
        <v>13</v>
      </c>
    </row>
    <row r="747" spans="1:18">
      <c r="A747" s="242">
        <v>60.44</v>
      </c>
      <c r="B747" s="243" t="s">
        <v>1247</v>
      </c>
      <c r="C747" s="244" t="s">
        <v>1248</v>
      </c>
      <c r="D747" s="245">
        <v>5620.35</v>
      </c>
      <c r="E747" s="245">
        <v>1586.38</v>
      </c>
      <c r="F747" s="245">
        <v>42.6</v>
      </c>
      <c r="G747" s="245">
        <v>3991.37</v>
      </c>
      <c r="H747" s="246">
        <v>42456.61</v>
      </c>
      <c r="I747" s="246">
        <v>20702.330000000002</v>
      </c>
      <c r="J747" s="246">
        <v>388.03</v>
      </c>
      <c r="K747" s="246">
        <v>21366.25</v>
      </c>
      <c r="L747" s="356">
        <v>7.5540864892755781</v>
      </c>
      <c r="M747" s="356">
        <v>13.05</v>
      </c>
      <c r="N747" s="356">
        <v>9.1086854460093889</v>
      </c>
      <c r="O747" s="356">
        <v>5.3531118387921941</v>
      </c>
      <c r="P747" s="247"/>
      <c r="Q747" s="247"/>
      <c r="R747" s="247">
        <v>13</v>
      </c>
    </row>
    <row r="748" spans="1:18" ht="12.75">
      <c r="A748" s="428" t="s">
        <v>1249</v>
      </c>
      <c r="B748" s="429"/>
      <c r="C748" s="429"/>
      <c r="D748" s="429"/>
      <c r="E748" s="429"/>
      <c r="F748" s="429"/>
      <c r="G748" s="429"/>
      <c r="H748" s="429"/>
      <c r="I748" s="429"/>
      <c r="J748" s="429"/>
      <c r="K748" s="429"/>
      <c r="L748" s="429"/>
      <c r="M748" s="429"/>
      <c r="N748" s="429"/>
      <c r="O748" s="429"/>
      <c r="P748" s="429"/>
      <c r="Q748" s="429"/>
      <c r="R748" s="429"/>
    </row>
    <row r="749" spans="1:18" ht="24">
      <c r="A749" s="237">
        <v>60.45</v>
      </c>
      <c r="B749" s="232" t="s">
        <v>1250</v>
      </c>
      <c r="C749" s="238" t="s">
        <v>1251</v>
      </c>
      <c r="D749" s="239">
        <v>5176.8</v>
      </c>
      <c r="E749" s="239">
        <v>1086.3399999999999</v>
      </c>
      <c r="F749" s="239">
        <v>1.1399999999999999</v>
      </c>
      <c r="G749" s="239">
        <v>4089.32</v>
      </c>
      <c r="H749" s="240">
        <v>33161.440000000002</v>
      </c>
      <c r="I749" s="240">
        <v>14177.15</v>
      </c>
      <c r="J749" s="240">
        <v>4.49</v>
      </c>
      <c r="K749" s="240">
        <v>18979.8</v>
      </c>
      <c r="L749" s="357">
        <v>6.4057796322052232</v>
      </c>
      <c r="M749" s="357">
        <v>13.05</v>
      </c>
      <c r="N749" s="357">
        <v>3.9385964912280707</v>
      </c>
      <c r="O749" s="357">
        <v>4.6413095575792545</v>
      </c>
      <c r="P749" s="241"/>
      <c r="Q749" s="241"/>
      <c r="R749" s="241">
        <v>14</v>
      </c>
    </row>
    <row r="750" spans="1:18">
      <c r="A750" s="237">
        <v>60.46</v>
      </c>
      <c r="B750" s="232" t="s">
        <v>1252</v>
      </c>
      <c r="C750" s="238" t="s">
        <v>1253</v>
      </c>
      <c r="D750" s="239">
        <v>14543.47</v>
      </c>
      <c r="E750" s="239">
        <v>2090.29</v>
      </c>
      <c r="F750" s="239">
        <v>0.86</v>
      </c>
      <c r="G750" s="239">
        <v>12452.32</v>
      </c>
      <c r="H750" s="240">
        <v>70909.740000000005</v>
      </c>
      <c r="I750" s="240">
        <v>27278.49</v>
      </c>
      <c r="J750" s="240">
        <v>3.41</v>
      </c>
      <c r="K750" s="240">
        <v>43627.839999999997</v>
      </c>
      <c r="L750" s="357">
        <v>4.8757098546632962</v>
      </c>
      <c r="M750" s="357">
        <v>13.05</v>
      </c>
      <c r="N750" s="357">
        <v>3.9651162790697678</v>
      </c>
      <c r="O750" s="357">
        <v>3.5035912986495688</v>
      </c>
      <c r="P750" s="241"/>
      <c r="Q750" s="241"/>
      <c r="R750" s="241">
        <v>14</v>
      </c>
    </row>
    <row r="751" spans="1:18">
      <c r="A751" s="237">
        <v>60.47</v>
      </c>
      <c r="B751" s="232" t="s">
        <v>1254</v>
      </c>
      <c r="C751" s="238" t="s">
        <v>1255</v>
      </c>
      <c r="D751" s="239">
        <v>6181.18</v>
      </c>
      <c r="E751" s="239">
        <v>1377.29</v>
      </c>
      <c r="F751" s="239">
        <v>0.59</v>
      </c>
      <c r="G751" s="239">
        <v>4803.3</v>
      </c>
      <c r="H751" s="240">
        <v>37190.94</v>
      </c>
      <c r="I751" s="240">
        <v>17974.13</v>
      </c>
      <c r="J751" s="240">
        <v>2.3199999999999998</v>
      </c>
      <c r="K751" s="240">
        <v>19214.490000000002</v>
      </c>
      <c r="L751" s="357">
        <v>6.0168026169760465</v>
      </c>
      <c r="M751" s="357">
        <v>13.05</v>
      </c>
      <c r="N751" s="357">
        <v>3.9322033898305082</v>
      </c>
      <c r="O751" s="357">
        <v>4.0002685653613144</v>
      </c>
      <c r="P751" s="241"/>
      <c r="Q751" s="241"/>
      <c r="R751" s="241">
        <v>14</v>
      </c>
    </row>
    <row r="752" spans="1:18">
      <c r="A752" s="237">
        <v>60.48</v>
      </c>
      <c r="B752" s="232" t="s">
        <v>1256</v>
      </c>
      <c r="C752" s="238" t="s">
        <v>1257</v>
      </c>
      <c r="D752" s="239">
        <v>6580.84</v>
      </c>
      <c r="E752" s="239">
        <v>743.27</v>
      </c>
      <c r="F752" s="239">
        <v>0.59</v>
      </c>
      <c r="G752" s="239">
        <v>5836.98</v>
      </c>
      <c r="H752" s="240">
        <v>46360.22</v>
      </c>
      <c r="I752" s="240">
        <v>9700.0400000000009</v>
      </c>
      <c r="J752" s="240">
        <v>2.3199999999999998</v>
      </c>
      <c r="K752" s="240">
        <v>36657.86</v>
      </c>
      <c r="L752" s="357">
        <v>7.0447268129904392</v>
      </c>
      <c r="M752" s="357">
        <v>13.05</v>
      </c>
      <c r="N752" s="357">
        <v>3.9322033898305082</v>
      </c>
      <c r="O752" s="357">
        <v>6.2802785001833143</v>
      </c>
      <c r="P752" s="241"/>
      <c r="Q752" s="241"/>
      <c r="R752" s="241">
        <v>14</v>
      </c>
    </row>
    <row r="753" spans="1:18">
      <c r="A753" s="237">
        <v>60.49</v>
      </c>
      <c r="B753" s="232" t="s">
        <v>1258</v>
      </c>
      <c r="C753" s="238" t="s">
        <v>1259</v>
      </c>
      <c r="D753" s="239">
        <v>16017.68</v>
      </c>
      <c r="E753" s="239">
        <v>2016.03</v>
      </c>
      <c r="F753" s="239">
        <v>3.72</v>
      </c>
      <c r="G753" s="239">
        <v>13997.93</v>
      </c>
      <c r="H753" s="240">
        <v>79362.78</v>
      </c>
      <c r="I753" s="240">
        <v>26309.55</v>
      </c>
      <c r="J753" s="240">
        <v>14.71</v>
      </c>
      <c r="K753" s="240">
        <v>53038.52</v>
      </c>
      <c r="L753" s="357">
        <v>4.9546988078173619</v>
      </c>
      <c r="M753" s="357">
        <v>13.05</v>
      </c>
      <c r="N753" s="357">
        <v>3.954301075268817</v>
      </c>
      <c r="O753" s="357">
        <v>3.7890259488367204</v>
      </c>
      <c r="P753" s="241"/>
      <c r="Q753" s="241"/>
      <c r="R753" s="241">
        <v>14</v>
      </c>
    </row>
    <row r="754" spans="1:18" ht="24">
      <c r="A754" s="237">
        <v>60.5</v>
      </c>
      <c r="B754" s="232" t="s">
        <v>1260</v>
      </c>
      <c r="C754" s="238" t="s">
        <v>1261</v>
      </c>
      <c r="D754" s="239">
        <v>21668.240000000002</v>
      </c>
      <c r="E754" s="239">
        <v>1715.61</v>
      </c>
      <c r="F754" s="239">
        <v>2.74</v>
      </c>
      <c r="G754" s="239">
        <v>19949.89</v>
      </c>
      <c r="H754" s="240">
        <v>91218.240000000005</v>
      </c>
      <c r="I754" s="240">
        <v>22389.1</v>
      </c>
      <c r="J754" s="240">
        <v>10.84</v>
      </c>
      <c r="K754" s="240">
        <v>68818.3</v>
      </c>
      <c r="L754" s="357">
        <v>4.2097669215404663</v>
      </c>
      <c r="M754" s="357">
        <v>13.05</v>
      </c>
      <c r="N754" s="357">
        <v>3.9562043795620436</v>
      </c>
      <c r="O754" s="357">
        <v>3.4495578672363609</v>
      </c>
      <c r="P754" s="241"/>
      <c r="Q754" s="241"/>
      <c r="R754" s="241">
        <v>14</v>
      </c>
    </row>
    <row r="755" spans="1:18" ht="24">
      <c r="A755" s="237">
        <v>60.51</v>
      </c>
      <c r="B755" s="232" t="s">
        <v>1262</v>
      </c>
      <c r="C755" s="238" t="s">
        <v>1263</v>
      </c>
      <c r="D755" s="239">
        <v>2609.9899999999998</v>
      </c>
      <c r="E755" s="239">
        <v>390.79</v>
      </c>
      <c r="F755" s="239"/>
      <c r="G755" s="239">
        <v>2219.1999999999998</v>
      </c>
      <c r="H755" s="240">
        <v>12244.56</v>
      </c>
      <c r="I755" s="240">
        <v>5099.78</v>
      </c>
      <c r="J755" s="240"/>
      <c r="K755" s="240">
        <v>7144.78</v>
      </c>
      <c r="L755" s="357">
        <v>4.6914202736408956</v>
      </c>
      <c r="M755" s="357">
        <v>13.05</v>
      </c>
      <c r="N755" s="357" t="s">
        <v>135</v>
      </c>
      <c r="O755" s="357">
        <v>3.2195295602018748</v>
      </c>
      <c r="P755" s="241"/>
      <c r="Q755" s="241"/>
      <c r="R755" s="241">
        <v>14</v>
      </c>
    </row>
    <row r="756" spans="1:18" ht="24">
      <c r="A756" s="237">
        <v>60.52</v>
      </c>
      <c r="B756" s="232" t="s">
        <v>1264</v>
      </c>
      <c r="C756" s="238" t="s">
        <v>1265</v>
      </c>
      <c r="D756" s="239">
        <v>5520.95</v>
      </c>
      <c r="E756" s="239">
        <v>1430.49</v>
      </c>
      <c r="F756" s="239">
        <v>1.1399999999999999</v>
      </c>
      <c r="G756" s="239">
        <v>4089.32</v>
      </c>
      <c r="H756" s="240">
        <v>37652.35</v>
      </c>
      <c r="I756" s="240">
        <v>18668.060000000001</v>
      </c>
      <c r="J756" s="240">
        <v>4.49</v>
      </c>
      <c r="K756" s="240">
        <v>18979.8</v>
      </c>
      <c r="L756" s="357">
        <v>6.8199041831568845</v>
      </c>
      <c r="M756" s="357">
        <v>13.05</v>
      </c>
      <c r="N756" s="357">
        <v>3.9385964912280707</v>
      </c>
      <c r="O756" s="357">
        <v>4.6413095575792545</v>
      </c>
      <c r="P756" s="241"/>
      <c r="Q756" s="241"/>
      <c r="R756" s="241">
        <v>14</v>
      </c>
    </row>
    <row r="757" spans="1:18" ht="24">
      <c r="A757" s="237">
        <v>60.53</v>
      </c>
      <c r="B757" s="232" t="s">
        <v>1266</v>
      </c>
      <c r="C757" s="238" t="s">
        <v>1267</v>
      </c>
      <c r="D757" s="239">
        <v>15263.39</v>
      </c>
      <c r="E757" s="239">
        <v>2722.54</v>
      </c>
      <c r="F757" s="239">
        <v>0.86</v>
      </c>
      <c r="G757" s="239">
        <v>12539.99</v>
      </c>
      <c r="H757" s="240">
        <v>79645.23</v>
      </c>
      <c r="I757" s="240">
        <v>35529.599999999999</v>
      </c>
      <c r="J757" s="240">
        <v>3.41</v>
      </c>
      <c r="K757" s="240">
        <v>44112.22</v>
      </c>
      <c r="L757" s="357">
        <v>5.2180564081766896</v>
      </c>
      <c r="M757" s="357">
        <v>13.05</v>
      </c>
      <c r="N757" s="357">
        <v>3.9651162790697678</v>
      </c>
      <c r="O757" s="357">
        <v>3.5177236983442572</v>
      </c>
      <c r="P757" s="241"/>
      <c r="Q757" s="241"/>
      <c r="R757" s="241">
        <v>14</v>
      </c>
    </row>
    <row r="758" spans="1:18" ht="24">
      <c r="A758" s="237">
        <v>60.54</v>
      </c>
      <c r="B758" s="232" t="s">
        <v>1268</v>
      </c>
      <c r="C758" s="238" t="s">
        <v>1269</v>
      </c>
      <c r="D758" s="239">
        <v>6716.62</v>
      </c>
      <c r="E758" s="239">
        <v>1913.05</v>
      </c>
      <c r="F758" s="239">
        <v>0.59</v>
      </c>
      <c r="G758" s="239">
        <v>4802.9799999999996</v>
      </c>
      <c r="H758" s="240">
        <v>44179.12</v>
      </c>
      <c r="I758" s="240">
        <v>24964.94</v>
      </c>
      <c r="J758" s="240">
        <v>2.3199999999999998</v>
      </c>
      <c r="K758" s="240">
        <v>19211.86</v>
      </c>
      <c r="L758" s="357">
        <v>6.5775821767496154</v>
      </c>
      <c r="M758" s="357">
        <v>13.05</v>
      </c>
      <c r="N758" s="357">
        <v>3.9322033898305082</v>
      </c>
      <c r="O758" s="357">
        <v>3.9999875077556024</v>
      </c>
      <c r="P758" s="241"/>
      <c r="Q758" s="241"/>
      <c r="R758" s="241">
        <v>14</v>
      </c>
    </row>
    <row r="759" spans="1:18" ht="24">
      <c r="A759" s="237">
        <v>60.55</v>
      </c>
      <c r="B759" s="232" t="s">
        <v>1270</v>
      </c>
      <c r="C759" s="238" t="s">
        <v>1271</v>
      </c>
      <c r="D759" s="239">
        <v>7396.56</v>
      </c>
      <c r="E759" s="239">
        <v>1558.99</v>
      </c>
      <c r="F759" s="239">
        <v>0.59</v>
      </c>
      <c r="G759" s="239">
        <v>5836.98</v>
      </c>
      <c r="H759" s="240">
        <v>57004.7</v>
      </c>
      <c r="I759" s="240">
        <v>20344.52</v>
      </c>
      <c r="J759" s="240">
        <v>2.3199999999999998</v>
      </c>
      <c r="K759" s="240">
        <v>36657.86</v>
      </c>
      <c r="L759" s="357">
        <v>7.706920514401288</v>
      </c>
      <c r="M759" s="357">
        <v>13.05</v>
      </c>
      <c r="N759" s="357">
        <v>3.9322033898305082</v>
      </c>
      <c r="O759" s="357">
        <v>6.2802785001833143</v>
      </c>
      <c r="P759" s="241"/>
      <c r="Q759" s="241"/>
      <c r="R759" s="241">
        <v>14</v>
      </c>
    </row>
    <row r="760" spans="1:18" ht="24">
      <c r="A760" s="237">
        <v>60.56</v>
      </c>
      <c r="B760" s="232" t="s">
        <v>1272</v>
      </c>
      <c r="C760" s="238" t="s">
        <v>1273</v>
      </c>
      <c r="D760" s="239">
        <v>17061.34</v>
      </c>
      <c r="E760" s="239">
        <v>3041.65</v>
      </c>
      <c r="F760" s="239">
        <v>3.55</v>
      </c>
      <c r="G760" s="239">
        <v>14016.14</v>
      </c>
      <c r="H760" s="240">
        <v>92846.03</v>
      </c>
      <c r="I760" s="240">
        <v>39693.97</v>
      </c>
      <c r="J760" s="240">
        <v>14.01</v>
      </c>
      <c r="K760" s="240">
        <v>53138.05</v>
      </c>
      <c r="L760" s="357">
        <v>5.4418955369273458</v>
      </c>
      <c r="M760" s="357">
        <v>13.05</v>
      </c>
      <c r="N760" s="357">
        <v>3.9464788732394367</v>
      </c>
      <c r="O760" s="357">
        <v>3.7912042830622417</v>
      </c>
      <c r="P760" s="241"/>
      <c r="Q760" s="241"/>
      <c r="R760" s="241">
        <v>14</v>
      </c>
    </row>
    <row r="761" spans="1:18" ht="24">
      <c r="A761" s="237">
        <v>60.57</v>
      </c>
      <c r="B761" s="232" t="s">
        <v>1274</v>
      </c>
      <c r="C761" s="238" t="s">
        <v>1275</v>
      </c>
      <c r="D761" s="239">
        <v>22742.83</v>
      </c>
      <c r="E761" s="239">
        <v>2566.12</v>
      </c>
      <c r="F761" s="239">
        <v>2.74</v>
      </c>
      <c r="G761" s="239">
        <v>20173.97</v>
      </c>
      <c r="H761" s="240">
        <v>103507.6</v>
      </c>
      <c r="I761" s="240">
        <v>33488.89</v>
      </c>
      <c r="J761" s="240">
        <v>10.84</v>
      </c>
      <c r="K761" s="240">
        <v>70007.87</v>
      </c>
      <c r="L761" s="357">
        <v>4.5512189995704135</v>
      </c>
      <c r="M761" s="357">
        <v>13.05</v>
      </c>
      <c r="N761" s="357">
        <v>3.9562043795620436</v>
      </c>
      <c r="O761" s="357">
        <v>3.4702078966113259</v>
      </c>
      <c r="P761" s="241"/>
      <c r="Q761" s="241"/>
      <c r="R761" s="241">
        <v>14</v>
      </c>
    </row>
    <row r="762" spans="1:18" ht="24">
      <c r="A762" s="237">
        <v>60.58</v>
      </c>
      <c r="B762" s="232" t="s">
        <v>1276</v>
      </c>
      <c r="C762" s="238" t="s">
        <v>1277</v>
      </c>
      <c r="D762" s="239">
        <v>2851.29</v>
      </c>
      <c r="E762" s="239">
        <v>657.8</v>
      </c>
      <c r="F762" s="239"/>
      <c r="G762" s="239">
        <v>2193.4899999999998</v>
      </c>
      <c r="H762" s="240">
        <v>15596.77</v>
      </c>
      <c r="I762" s="240">
        <v>8584.07</v>
      </c>
      <c r="J762" s="240"/>
      <c r="K762" s="240">
        <v>7012.7</v>
      </c>
      <c r="L762" s="357">
        <v>5.4700749485320683</v>
      </c>
      <c r="M762" s="357">
        <v>13.05</v>
      </c>
      <c r="N762" s="357" t="s">
        <v>135</v>
      </c>
      <c r="O762" s="357">
        <v>3.1970512744530408</v>
      </c>
      <c r="P762" s="241"/>
      <c r="Q762" s="241"/>
      <c r="R762" s="241">
        <v>14</v>
      </c>
    </row>
    <row r="763" spans="1:18" ht="24">
      <c r="A763" s="237">
        <v>60.59</v>
      </c>
      <c r="B763" s="232" t="s">
        <v>1278</v>
      </c>
      <c r="C763" s="238" t="s">
        <v>1279</v>
      </c>
      <c r="D763" s="239">
        <v>6086.01</v>
      </c>
      <c r="E763" s="239">
        <v>1900.44</v>
      </c>
      <c r="F763" s="239">
        <v>1.1399999999999999</v>
      </c>
      <c r="G763" s="239">
        <v>4184.43</v>
      </c>
      <c r="H763" s="240">
        <v>44281.89</v>
      </c>
      <c r="I763" s="240">
        <v>24801.16</v>
      </c>
      <c r="J763" s="240">
        <v>4.49</v>
      </c>
      <c r="K763" s="240">
        <v>19476.240000000002</v>
      </c>
      <c r="L763" s="357">
        <v>7.276013348647143</v>
      </c>
      <c r="M763" s="357">
        <v>13.05</v>
      </c>
      <c r="N763" s="357">
        <v>3.9385964912280707</v>
      </c>
      <c r="O763" s="357">
        <v>4.6544547286010278</v>
      </c>
      <c r="P763" s="241"/>
      <c r="Q763" s="241"/>
      <c r="R763" s="241">
        <v>14</v>
      </c>
    </row>
    <row r="764" spans="1:18" ht="24">
      <c r="A764" s="237">
        <v>60.6</v>
      </c>
      <c r="B764" s="232" t="s">
        <v>1280</v>
      </c>
      <c r="C764" s="238" t="s">
        <v>1281</v>
      </c>
      <c r="D764" s="239">
        <v>15615.51</v>
      </c>
      <c r="E764" s="239">
        <v>3089.22</v>
      </c>
      <c r="F764" s="239">
        <v>0.86</v>
      </c>
      <c r="G764" s="239">
        <v>12525.43</v>
      </c>
      <c r="H764" s="240">
        <v>84325.94</v>
      </c>
      <c r="I764" s="240">
        <v>40313.21</v>
      </c>
      <c r="J764" s="240">
        <v>3.41</v>
      </c>
      <c r="K764" s="240">
        <v>44009.32</v>
      </c>
      <c r="L764" s="357">
        <v>5.4001399890237334</v>
      </c>
      <c r="M764" s="357">
        <v>13.05</v>
      </c>
      <c r="N764" s="357">
        <v>3.9651162790697678</v>
      </c>
      <c r="O764" s="357">
        <v>3.5135975371703805</v>
      </c>
      <c r="P764" s="241"/>
      <c r="Q764" s="241"/>
      <c r="R764" s="241">
        <v>14</v>
      </c>
    </row>
    <row r="765" spans="1:18" ht="24">
      <c r="A765" s="237">
        <v>60.61</v>
      </c>
      <c r="B765" s="232" t="s">
        <v>1282</v>
      </c>
      <c r="C765" s="238" t="s">
        <v>1283</v>
      </c>
      <c r="D765" s="239">
        <v>17657.73</v>
      </c>
      <c r="E765" s="239">
        <v>3510.79</v>
      </c>
      <c r="F765" s="239">
        <v>3.55</v>
      </c>
      <c r="G765" s="239">
        <v>14143.39</v>
      </c>
      <c r="H765" s="240">
        <v>99626.68</v>
      </c>
      <c r="I765" s="240">
        <v>45815.86</v>
      </c>
      <c r="J765" s="240">
        <v>14.01</v>
      </c>
      <c r="K765" s="240">
        <v>53796.81</v>
      </c>
      <c r="L765" s="357">
        <v>5.6421000887430033</v>
      </c>
      <c r="M765" s="357">
        <v>13.05</v>
      </c>
      <c r="N765" s="357">
        <v>3.9464788732394367</v>
      </c>
      <c r="O765" s="357">
        <v>3.8036715384359763</v>
      </c>
      <c r="P765" s="241"/>
      <c r="Q765" s="241"/>
      <c r="R765" s="241">
        <v>14</v>
      </c>
    </row>
    <row r="766" spans="1:18" ht="24">
      <c r="A766" s="242">
        <v>60.62</v>
      </c>
      <c r="B766" s="243" t="s">
        <v>1284</v>
      </c>
      <c r="C766" s="244" t="s">
        <v>1285</v>
      </c>
      <c r="D766" s="245">
        <v>23213.89</v>
      </c>
      <c r="E766" s="245">
        <v>3041.09</v>
      </c>
      <c r="F766" s="245">
        <v>2.74</v>
      </c>
      <c r="G766" s="245">
        <v>20170.060000000001</v>
      </c>
      <c r="H766" s="246">
        <v>109664.98</v>
      </c>
      <c r="I766" s="246">
        <v>39685.74</v>
      </c>
      <c r="J766" s="246">
        <v>10.84</v>
      </c>
      <c r="K766" s="246">
        <v>69968.399999999994</v>
      </c>
      <c r="L766" s="356">
        <v>4.7241104356055788</v>
      </c>
      <c r="M766" s="356">
        <v>13.05</v>
      </c>
      <c r="N766" s="356">
        <v>3.9562043795620436</v>
      </c>
      <c r="O766" s="356">
        <v>3.4689237414266487</v>
      </c>
      <c r="P766" s="247"/>
      <c r="Q766" s="247"/>
      <c r="R766" s="247">
        <v>14</v>
      </c>
    </row>
    <row r="767" spans="1:18" ht="12.75">
      <c r="A767" s="428" t="s">
        <v>1286</v>
      </c>
      <c r="B767" s="429"/>
      <c r="C767" s="429"/>
      <c r="D767" s="429"/>
      <c r="E767" s="429"/>
      <c r="F767" s="429"/>
      <c r="G767" s="429"/>
      <c r="H767" s="429"/>
      <c r="I767" s="429"/>
      <c r="J767" s="429"/>
      <c r="K767" s="429"/>
      <c r="L767" s="429"/>
      <c r="M767" s="429"/>
      <c r="N767" s="429"/>
      <c r="O767" s="429"/>
      <c r="P767" s="429"/>
      <c r="Q767" s="429"/>
      <c r="R767" s="429"/>
    </row>
    <row r="768" spans="1:18">
      <c r="A768" s="237">
        <v>60.63</v>
      </c>
      <c r="B768" s="232" t="s">
        <v>1287</v>
      </c>
      <c r="C768" s="238" t="s">
        <v>1288</v>
      </c>
      <c r="D768" s="239">
        <v>1820.25</v>
      </c>
      <c r="E768" s="239">
        <v>335.89</v>
      </c>
      <c r="F768" s="239">
        <v>5.25</v>
      </c>
      <c r="G768" s="239">
        <v>1479.11</v>
      </c>
      <c r="H768" s="240">
        <v>9990.4599999999991</v>
      </c>
      <c r="I768" s="240">
        <v>4383.55</v>
      </c>
      <c r="J768" s="240">
        <v>26.53</v>
      </c>
      <c r="K768" s="240">
        <v>5580.38</v>
      </c>
      <c r="L768" s="357">
        <v>5.4885098200796589</v>
      </c>
      <c r="M768" s="357">
        <v>13.05</v>
      </c>
      <c r="N768" s="357">
        <v>5.0533333333333337</v>
      </c>
      <c r="O768" s="357">
        <v>3.772795802881463</v>
      </c>
      <c r="P768" s="241"/>
      <c r="Q768" s="241"/>
      <c r="R768" s="241">
        <v>15</v>
      </c>
    </row>
    <row r="769" spans="1:18">
      <c r="A769" s="242">
        <v>60.64</v>
      </c>
      <c r="B769" s="243" t="s">
        <v>1289</v>
      </c>
      <c r="C769" s="244" t="s">
        <v>1290</v>
      </c>
      <c r="D769" s="245">
        <v>2148.06</v>
      </c>
      <c r="E769" s="245">
        <v>273.26</v>
      </c>
      <c r="F769" s="245">
        <v>6.29</v>
      </c>
      <c r="G769" s="245">
        <v>1868.51</v>
      </c>
      <c r="H769" s="246">
        <v>10576.05</v>
      </c>
      <c r="I769" s="246">
        <v>3566.19</v>
      </c>
      <c r="J769" s="246">
        <v>31.84</v>
      </c>
      <c r="K769" s="246">
        <v>6978.02</v>
      </c>
      <c r="L769" s="356">
        <v>4.9235356554286192</v>
      </c>
      <c r="M769" s="356">
        <v>13.05</v>
      </c>
      <c r="N769" s="356">
        <v>5.0620031796502385</v>
      </c>
      <c r="O769" s="356">
        <v>3.7345371445697375</v>
      </c>
      <c r="P769" s="247"/>
      <c r="Q769" s="247"/>
      <c r="R769" s="247">
        <v>15</v>
      </c>
    </row>
    <row r="770" spans="1:18" ht="12.75">
      <c r="A770" s="428" t="s">
        <v>1291</v>
      </c>
      <c r="B770" s="429"/>
      <c r="C770" s="429"/>
      <c r="D770" s="429"/>
      <c r="E770" s="429"/>
      <c r="F770" s="429"/>
      <c r="G770" s="429"/>
      <c r="H770" s="429"/>
      <c r="I770" s="429"/>
      <c r="J770" s="429"/>
      <c r="K770" s="429"/>
      <c r="L770" s="429"/>
      <c r="M770" s="429"/>
      <c r="N770" s="429"/>
      <c r="O770" s="429"/>
      <c r="P770" s="429"/>
      <c r="Q770" s="429"/>
      <c r="R770" s="429"/>
    </row>
    <row r="771" spans="1:18" ht="24">
      <c r="A771" s="237">
        <v>60.65</v>
      </c>
      <c r="B771" s="232" t="s">
        <v>1292</v>
      </c>
      <c r="C771" s="238" t="s">
        <v>1293</v>
      </c>
      <c r="D771" s="239">
        <v>239.65</v>
      </c>
      <c r="E771" s="239">
        <v>165.34</v>
      </c>
      <c r="F771" s="239"/>
      <c r="G771" s="239">
        <v>74.31</v>
      </c>
      <c r="H771" s="240">
        <v>2554.7600000000002</v>
      </c>
      <c r="I771" s="240">
        <v>2157.7199999999998</v>
      </c>
      <c r="J771" s="240"/>
      <c r="K771" s="240">
        <v>397.04</v>
      </c>
      <c r="L771" s="357">
        <v>10.660379720425622</v>
      </c>
      <c r="M771" s="357">
        <v>13.05</v>
      </c>
      <c r="N771" s="357" t="s">
        <v>135</v>
      </c>
      <c r="O771" s="357">
        <v>5.3430224734221508</v>
      </c>
      <c r="P771" s="241"/>
      <c r="Q771" s="241"/>
      <c r="R771" s="241">
        <v>16</v>
      </c>
    </row>
    <row r="772" spans="1:18">
      <c r="A772" s="237">
        <v>60.66</v>
      </c>
      <c r="B772" s="232" t="s">
        <v>1294</v>
      </c>
      <c r="C772" s="238" t="s">
        <v>1295</v>
      </c>
      <c r="D772" s="239">
        <v>162</v>
      </c>
      <c r="E772" s="239">
        <v>87.69</v>
      </c>
      <c r="F772" s="239"/>
      <c r="G772" s="239">
        <v>74.31</v>
      </c>
      <c r="H772" s="240">
        <v>1541.32</v>
      </c>
      <c r="I772" s="240">
        <v>1144.28</v>
      </c>
      <c r="J772" s="240"/>
      <c r="K772" s="240">
        <v>397.04</v>
      </c>
      <c r="L772" s="357">
        <v>9.5143209876543207</v>
      </c>
      <c r="M772" s="357">
        <v>13.05</v>
      </c>
      <c r="N772" s="357" t="s">
        <v>135</v>
      </c>
      <c r="O772" s="357">
        <v>5.3430224734221508</v>
      </c>
      <c r="P772" s="241"/>
      <c r="Q772" s="241"/>
      <c r="R772" s="241">
        <v>16</v>
      </c>
    </row>
    <row r="773" spans="1:18">
      <c r="A773" s="242">
        <v>60.67</v>
      </c>
      <c r="B773" s="243" t="s">
        <v>1296</v>
      </c>
      <c r="C773" s="244" t="s">
        <v>1297</v>
      </c>
      <c r="D773" s="245">
        <v>221.32</v>
      </c>
      <c r="E773" s="245">
        <v>163.22999999999999</v>
      </c>
      <c r="F773" s="245"/>
      <c r="G773" s="245">
        <v>58.09</v>
      </c>
      <c r="H773" s="246">
        <v>2498.38</v>
      </c>
      <c r="I773" s="246">
        <v>2130.0500000000002</v>
      </c>
      <c r="J773" s="246"/>
      <c r="K773" s="246">
        <v>368.33</v>
      </c>
      <c r="L773" s="356">
        <v>11.288541478402314</v>
      </c>
      <c r="M773" s="356">
        <v>13.05</v>
      </c>
      <c r="N773" s="356" t="s">
        <v>135</v>
      </c>
      <c r="O773" s="356">
        <v>6.3406782578757097</v>
      </c>
      <c r="P773" s="247"/>
      <c r="Q773" s="247"/>
      <c r="R773" s="247">
        <v>16</v>
      </c>
    </row>
    <row r="774" spans="1:18" ht="12.75">
      <c r="A774" s="428" t="s">
        <v>1298</v>
      </c>
      <c r="B774" s="429"/>
      <c r="C774" s="429"/>
      <c r="D774" s="429"/>
      <c r="E774" s="429"/>
      <c r="F774" s="429"/>
      <c r="G774" s="429"/>
      <c r="H774" s="429"/>
      <c r="I774" s="429"/>
      <c r="J774" s="429"/>
      <c r="K774" s="429"/>
      <c r="L774" s="429"/>
      <c r="M774" s="429"/>
      <c r="N774" s="429"/>
      <c r="O774" s="429"/>
      <c r="P774" s="429"/>
      <c r="Q774" s="429"/>
      <c r="R774" s="429"/>
    </row>
    <row r="775" spans="1:18" ht="24">
      <c r="A775" s="237">
        <v>60.68</v>
      </c>
      <c r="B775" s="232" t="s">
        <v>1299</v>
      </c>
      <c r="C775" s="238" t="s">
        <v>1300</v>
      </c>
      <c r="D775" s="239">
        <v>2811.27</v>
      </c>
      <c r="E775" s="239">
        <v>2508.06</v>
      </c>
      <c r="F775" s="239">
        <v>303.20999999999998</v>
      </c>
      <c r="G775" s="239"/>
      <c r="H775" s="240">
        <v>34656.46</v>
      </c>
      <c r="I775" s="240">
        <v>32730.37</v>
      </c>
      <c r="J775" s="240">
        <v>1926.09</v>
      </c>
      <c r="K775" s="240"/>
      <c r="L775" s="357">
        <v>12.327688197860754</v>
      </c>
      <c r="M775" s="357">
        <v>13.05</v>
      </c>
      <c r="N775" s="357">
        <v>6.3523300682695165</v>
      </c>
      <c r="O775" s="357" t="s">
        <v>135</v>
      </c>
      <c r="P775" s="241"/>
      <c r="Q775" s="241"/>
      <c r="R775" s="241">
        <v>17</v>
      </c>
    </row>
    <row r="776" spans="1:18" ht="24">
      <c r="A776" s="237">
        <v>60.69</v>
      </c>
      <c r="B776" s="232" t="s">
        <v>1301</v>
      </c>
      <c r="C776" s="238" t="s">
        <v>1302</v>
      </c>
      <c r="D776" s="239">
        <v>3212.2</v>
      </c>
      <c r="E776" s="239">
        <v>2865.73</v>
      </c>
      <c r="F776" s="239">
        <v>346.47</v>
      </c>
      <c r="G776" s="239"/>
      <c r="H776" s="240">
        <v>39598.86</v>
      </c>
      <c r="I776" s="240">
        <v>37397.97</v>
      </c>
      <c r="J776" s="240">
        <v>2200.89</v>
      </c>
      <c r="K776" s="240"/>
      <c r="L776" s="357">
        <v>12.327644604943654</v>
      </c>
      <c r="M776" s="357">
        <v>13.05</v>
      </c>
      <c r="N776" s="357">
        <v>6.352324876612693</v>
      </c>
      <c r="O776" s="357" t="s">
        <v>135</v>
      </c>
      <c r="P776" s="241"/>
      <c r="Q776" s="241"/>
      <c r="R776" s="241">
        <v>17</v>
      </c>
    </row>
    <row r="777" spans="1:18" ht="24">
      <c r="A777" s="237">
        <v>60.7</v>
      </c>
      <c r="B777" s="232" t="s">
        <v>1303</v>
      </c>
      <c r="C777" s="238" t="s">
        <v>1304</v>
      </c>
      <c r="D777" s="239">
        <v>2368.9499999999998</v>
      </c>
      <c r="E777" s="239">
        <v>2116.3200000000002</v>
      </c>
      <c r="F777" s="239">
        <v>252.63</v>
      </c>
      <c r="G777" s="239"/>
      <c r="H777" s="240">
        <v>29223.61</v>
      </c>
      <c r="I777" s="240">
        <v>27618.83</v>
      </c>
      <c r="J777" s="240">
        <v>1604.78</v>
      </c>
      <c r="K777" s="240"/>
      <c r="L777" s="357">
        <v>12.336102492665528</v>
      </c>
      <c r="M777" s="357">
        <v>13.05</v>
      </c>
      <c r="N777" s="357">
        <v>6.3522938685033452</v>
      </c>
      <c r="O777" s="357" t="s">
        <v>135</v>
      </c>
      <c r="P777" s="241"/>
      <c r="Q777" s="241"/>
      <c r="R777" s="241">
        <v>17</v>
      </c>
    </row>
    <row r="778" spans="1:18" ht="24">
      <c r="A778" s="242">
        <v>60.71</v>
      </c>
      <c r="B778" s="243" t="s">
        <v>1305</v>
      </c>
      <c r="C778" s="244" t="s">
        <v>1306</v>
      </c>
      <c r="D778" s="245">
        <v>4772.12</v>
      </c>
      <c r="E778" s="245">
        <v>3330.78</v>
      </c>
      <c r="F778" s="245">
        <v>413.35</v>
      </c>
      <c r="G778" s="245">
        <v>1027.99</v>
      </c>
      <c r="H778" s="246">
        <v>49859.92</v>
      </c>
      <c r="I778" s="246">
        <v>43467.97</v>
      </c>
      <c r="J778" s="246">
        <v>2605.39</v>
      </c>
      <c r="K778" s="246">
        <v>3786.56</v>
      </c>
      <c r="L778" s="356">
        <v>10.448169786174699</v>
      </c>
      <c r="M778" s="356">
        <v>13.05</v>
      </c>
      <c r="N778" s="356">
        <v>6.3031087456150958</v>
      </c>
      <c r="O778" s="356">
        <v>3.6834599558361463</v>
      </c>
      <c r="P778" s="247"/>
      <c r="Q778" s="247"/>
      <c r="R778" s="247">
        <v>17</v>
      </c>
    </row>
    <row r="779" spans="1:18" ht="12.75">
      <c r="A779" s="428" t="s">
        <v>1307</v>
      </c>
      <c r="B779" s="429"/>
      <c r="C779" s="429"/>
      <c r="D779" s="429"/>
      <c r="E779" s="429"/>
      <c r="F779" s="429"/>
      <c r="G779" s="429"/>
      <c r="H779" s="429"/>
      <c r="I779" s="429"/>
      <c r="J779" s="429"/>
      <c r="K779" s="429"/>
      <c r="L779" s="429"/>
      <c r="M779" s="429"/>
      <c r="N779" s="429"/>
      <c r="O779" s="429"/>
      <c r="P779" s="429"/>
      <c r="Q779" s="429"/>
      <c r="R779" s="429"/>
    </row>
    <row r="780" spans="1:18" ht="24">
      <c r="A780" s="237">
        <v>60.72</v>
      </c>
      <c r="B780" s="232" t="s">
        <v>1308</v>
      </c>
      <c r="C780" s="238" t="s">
        <v>1309</v>
      </c>
      <c r="D780" s="239">
        <v>4392.7299999999996</v>
      </c>
      <c r="E780" s="239">
        <v>4054.93</v>
      </c>
      <c r="F780" s="239">
        <v>239.36</v>
      </c>
      <c r="G780" s="239">
        <v>98.44</v>
      </c>
      <c r="H780" s="240">
        <v>55586.5</v>
      </c>
      <c r="I780" s="240">
        <v>52917.22</v>
      </c>
      <c r="J780" s="240">
        <v>1888.01</v>
      </c>
      <c r="K780" s="240">
        <v>781.27</v>
      </c>
      <c r="L780" s="357">
        <v>12.654203650121907</v>
      </c>
      <c r="M780" s="357">
        <v>13.05</v>
      </c>
      <c r="N780" s="357">
        <v>7.8877423128342237</v>
      </c>
      <c r="O780" s="357">
        <v>7.9365095489638362</v>
      </c>
      <c r="P780" s="241"/>
      <c r="Q780" s="241"/>
      <c r="R780" s="241">
        <v>18</v>
      </c>
    </row>
    <row r="781" spans="1:18" ht="24">
      <c r="A781" s="242">
        <v>60.73</v>
      </c>
      <c r="B781" s="243" t="s">
        <v>1310</v>
      </c>
      <c r="C781" s="244" t="s">
        <v>1311</v>
      </c>
      <c r="D781" s="245">
        <v>3509.78</v>
      </c>
      <c r="E781" s="245">
        <v>3121.45</v>
      </c>
      <c r="F781" s="245">
        <v>239.36</v>
      </c>
      <c r="G781" s="245">
        <v>148.97</v>
      </c>
      <c r="H781" s="246">
        <v>43793.5</v>
      </c>
      <c r="I781" s="246">
        <v>40735.269999999997</v>
      </c>
      <c r="J781" s="246">
        <v>1888.01</v>
      </c>
      <c r="K781" s="246">
        <v>1170.22</v>
      </c>
      <c r="L781" s="356">
        <v>12.477562696237371</v>
      </c>
      <c r="M781" s="356">
        <v>13.05</v>
      </c>
      <c r="N781" s="356">
        <v>7.8877423128342237</v>
      </c>
      <c r="O781" s="356">
        <v>7.8554071289521383</v>
      </c>
      <c r="P781" s="247"/>
      <c r="Q781" s="247"/>
      <c r="R781" s="247">
        <v>18</v>
      </c>
    </row>
    <row r="782" spans="1:18" ht="12.75">
      <c r="A782" s="428" t="s">
        <v>1312</v>
      </c>
      <c r="B782" s="429"/>
      <c r="C782" s="429"/>
      <c r="D782" s="429"/>
      <c r="E782" s="429"/>
      <c r="F782" s="429"/>
      <c r="G782" s="429"/>
      <c r="H782" s="429"/>
      <c r="I782" s="429"/>
      <c r="J782" s="429"/>
      <c r="K782" s="429"/>
      <c r="L782" s="429"/>
      <c r="M782" s="429"/>
      <c r="N782" s="429"/>
      <c r="O782" s="429"/>
      <c r="P782" s="429"/>
      <c r="Q782" s="429"/>
      <c r="R782" s="429"/>
    </row>
    <row r="783" spans="1:18" ht="24">
      <c r="A783" s="237">
        <v>60.74</v>
      </c>
      <c r="B783" s="232" t="s">
        <v>1313</v>
      </c>
      <c r="C783" s="238" t="s">
        <v>1314</v>
      </c>
      <c r="D783" s="239">
        <v>10604.42</v>
      </c>
      <c r="E783" s="239">
        <v>2682.52</v>
      </c>
      <c r="F783" s="239">
        <v>34.28</v>
      </c>
      <c r="G783" s="239">
        <v>7887.62</v>
      </c>
      <c r="H783" s="240">
        <v>63616.72</v>
      </c>
      <c r="I783" s="240">
        <v>35006.99</v>
      </c>
      <c r="J783" s="240">
        <v>193.8</v>
      </c>
      <c r="K783" s="240">
        <v>28415.93</v>
      </c>
      <c r="L783" s="357">
        <v>5.9990758570482878</v>
      </c>
      <c r="M783" s="357">
        <v>13.05</v>
      </c>
      <c r="N783" s="357">
        <v>5.6534422403733959</v>
      </c>
      <c r="O783" s="357">
        <v>3.602598756025265</v>
      </c>
      <c r="P783" s="241"/>
      <c r="Q783" s="241"/>
      <c r="R783" s="241">
        <v>19</v>
      </c>
    </row>
    <row r="784" spans="1:18" ht="24">
      <c r="A784" s="237">
        <v>60.75</v>
      </c>
      <c r="B784" s="232" t="s">
        <v>1315</v>
      </c>
      <c r="C784" s="238" t="s">
        <v>1316</v>
      </c>
      <c r="D784" s="239">
        <v>3064.88</v>
      </c>
      <c r="E784" s="239">
        <v>798.59</v>
      </c>
      <c r="F784" s="239">
        <v>9.5399999999999991</v>
      </c>
      <c r="G784" s="239">
        <v>2256.75</v>
      </c>
      <c r="H784" s="240">
        <v>18628.849999999999</v>
      </c>
      <c r="I784" s="240">
        <v>10421.64</v>
      </c>
      <c r="J784" s="240">
        <v>53.82</v>
      </c>
      <c r="K784" s="240">
        <v>8153.39</v>
      </c>
      <c r="L784" s="357">
        <v>6.0781661924773553</v>
      </c>
      <c r="M784" s="357">
        <v>13.05</v>
      </c>
      <c r="N784" s="357">
        <v>5.6415094339622645</v>
      </c>
      <c r="O784" s="357">
        <v>3.6128902182341864</v>
      </c>
      <c r="P784" s="241"/>
      <c r="Q784" s="241"/>
      <c r="R784" s="241">
        <v>19</v>
      </c>
    </row>
    <row r="785" spans="1:18" ht="12.75">
      <c r="A785" s="231"/>
      <c r="B785" s="234"/>
      <c r="C785" s="233"/>
      <c r="D785" s="235"/>
      <c r="E785" s="235"/>
      <c r="F785" s="235"/>
      <c r="G785" s="235"/>
      <c r="H785" s="236"/>
      <c r="I785" s="236"/>
      <c r="J785" s="236"/>
      <c r="K785" s="236"/>
      <c r="L785" s="355"/>
      <c r="M785" s="355"/>
      <c r="N785" s="355"/>
      <c r="O785" s="354"/>
      <c r="P785" s="230"/>
      <c r="Q785" s="230"/>
      <c r="R785" s="230"/>
    </row>
    <row r="786" spans="1:18">
      <c r="A786" s="211"/>
      <c r="B786" s="214"/>
      <c r="C786" s="211"/>
      <c r="D786" s="211"/>
      <c r="E786" s="211"/>
      <c r="F786" s="211"/>
      <c r="G786" s="211"/>
      <c r="H786" s="213"/>
      <c r="I786" s="213"/>
      <c r="J786" s="213"/>
      <c r="K786" s="213"/>
      <c r="O786" s="353"/>
      <c r="P786" s="211"/>
      <c r="Q786" s="211"/>
      <c r="R786" s="211"/>
    </row>
    <row r="787" spans="1:18">
      <c r="O787" s="353"/>
    </row>
    <row r="788" spans="1:18">
      <c r="O788" s="352"/>
    </row>
    <row r="789" spans="1:18" ht="23.25">
      <c r="A789" s="61"/>
      <c r="B789" s="60"/>
      <c r="C789" s="45" t="s">
        <v>1317</v>
      </c>
      <c r="D789" s="45"/>
      <c r="E789" s="45"/>
      <c r="F789" s="45"/>
      <c r="G789" s="45"/>
      <c r="H789" s="58"/>
      <c r="I789" s="58"/>
      <c r="J789" s="58"/>
      <c r="K789" s="58"/>
      <c r="L789" s="351"/>
      <c r="M789" s="351"/>
      <c r="N789" s="351"/>
      <c r="O789" s="350"/>
    </row>
    <row r="790" spans="1:18" ht="12.75">
      <c r="A790" s="428" t="s">
        <v>1318</v>
      </c>
      <c r="B790" s="429"/>
      <c r="C790" s="429"/>
      <c r="D790" s="429"/>
      <c r="E790" s="429"/>
      <c r="F790" s="429"/>
      <c r="G790" s="429"/>
      <c r="H790" s="429"/>
      <c r="I790" s="429"/>
      <c r="J790" s="429"/>
      <c r="K790" s="429"/>
      <c r="L790" s="429"/>
      <c r="M790" s="429"/>
      <c r="N790" s="429"/>
      <c r="O790" s="429"/>
      <c r="P790" s="429"/>
      <c r="Q790" s="429"/>
      <c r="R790" s="429"/>
    </row>
    <row r="791" spans="1:18" ht="36">
      <c r="A791" s="258">
        <v>61.1</v>
      </c>
      <c r="B791" s="251" t="s">
        <v>1319</v>
      </c>
      <c r="C791" s="259" t="s">
        <v>1320</v>
      </c>
      <c r="D791" s="260">
        <v>610.92999999999995</v>
      </c>
      <c r="E791" s="260">
        <v>293.73</v>
      </c>
      <c r="F791" s="260">
        <v>11.72</v>
      </c>
      <c r="G791" s="260">
        <v>305.48</v>
      </c>
      <c r="H791" s="261">
        <v>5947.79</v>
      </c>
      <c r="I791" s="261">
        <v>3833.27</v>
      </c>
      <c r="J791" s="261">
        <v>88.93</v>
      </c>
      <c r="K791" s="261">
        <v>2025.59</v>
      </c>
      <c r="L791" s="357">
        <v>9.7356325601951124</v>
      </c>
      <c r="M791" s="357">
        <v>13.05</v>
      </c>
      <c r="N791" s="357">
        <v>7.587883959044369</v>
      </c>
      <c r="O791" s="357">
        <v>6.6308432630614105</v>
      </c>
      <c r="P791" s="262"/>
      <c r="Q791" s="262"/>
      <c r="R791" s="262">
        <v>1</v>
      </c>
    </row>
    <row r="792" spans="1:18" ht="36">
      <c r="A792" s="258">
        <v>61.2</v>
      </c>
      <c r="B792" s="251" t="s">
        <v>1321</v>
      </c>
      <c r="C792" s="259" t="s">
        <v>1322</v>
      </c>
      <c r="D792" s="260">
        <v>1053.98</v>
      </c>
      <c r="E792" s="260">
        <v>420.73</v>
      </c>
      <c r="F792" s="260">
        <v>23.43</v>
      </c>
      <c r="G792" s="260">
        <v>609.82000000000005</v>
      </c>
      <c r="H792" s="261">
        <v>9711.0300000000007</v>
      </c>
      <c r="I792" s="261">
        <v>5490.73</v>
      </c>
      <c r="J792" s="261">
        <v>177.86</v>
      </c>
      <c r="K792" s="261">
        <v>4042.44</v>
      </c>
      <c r="L792" s="357">
        <v>9.2136757813241239</v>
      </c>
      <c r="M792" s="357">
        <v>13.05</v>
      </c>
      <c r="N792" s="357">
        <v>7.5911224925309435</v>
      </c>
      <c r="O792" s="357">
        <v>6.628906890557869</v>
      </c>
      <c r="P792" s="262"/>
      <c r="Q792" s="262"/>
      <c r="R792" s="262">
        <v>1</v>
      </c>
    </row>
    <row r="793" spans="1:18" ht="36">
      <c r="A793" s="258">
        <v>61.3</v>
      </c>
      <c r="B793" s="251" t="s">
        <v>1323</v>
      </c>
      <c r="C793" s="259" t="s">
        <v>1324</v>
      </c>
      <c r="D793" s="260">
        <v>1305.8800000000001</v>
      </c>
      <c r="E793" s="260">
        <v>358.01</v>
      </c>
      <c r="F793" s="260">
        <v>10.62</v>
      </c>
      <c r="G793" s="260">
        <v>937.25</v>
      </c>
      <c r="H793" s="261">
        <v>7897.56</v>
      </c>
      <c r="I793" s="261">
        <v>4672.05</v>
      </c>
      <c r="J793" s="261">
        <v>80.59</v>
      </c>
      <c r="K793" s="261">
        <v>3144.92</v>
      </c>
      <c r="L793" s="357">
        <v>6.0476919778233835</v>
      </c>
      <c r="M793" s="357">
        <v>13.05</v>
      </c>
      <c r="N793" s="357">
        <v>7.5885122410546151</v>
      </c>
      <c r="O793" s="357">
        <v>3.3554761269671913</v>
      </c>
      <c r="P793" s="262"/>
      <c r="Q793" s="262"/>
      <c r="R793" s="262">
        <v>1</v>
      </c>
    </row>
    <row r="794" spans="1:18" ht="36">
      <c r="A794" s="258">
        <v>61.4</v>
      </c>
      <c r="B794" s="251" t="s">
        <v>1325</v>
      </c>
      <c r="C794" s="259" t="s">
        <v>1326</v>
      </c>
      <c r="D794" s="260">
        <v>2398.87</v>
      </c>
      <c r="E794" s="260">
        <v>505.01</v>
      </c>
      <c r="F794" s="260">
        <v>21.23</v>
      </c>
      <c r="G794" s="260">
        <v>1872.63</v>
      </c>
      <c r="H794" s="261">
        <v>13028.88</v>
      </c>
      <c r="I794" s="261">
        <v>6590.3</v>
      </c>
      <c r="J794" s="261">
        <v>161.18</v>
      </c>
      <c r="K794" s="261">
        <v>6277.4</v>
      </c>
      <c r="L794" s="357">
        <v>5.4312572169396427</v>
      </c>
      <c r="M794" s="357">
        <v>13.05</v>
      </c>
      <c r="N794" s="357">
        <v>7.5920866698068776</v>
      </c>
      <c r="O794" s="357">
        <v>3.3521838270240245</v>
      </c>
      <c r="P794" s="262"/>
      <c r="Q794" s="262"/>
      <c r="R794" s="262">
        <v>1</v>
      </c>
    </row>
    <row r="795" spans="1:18" ht="36">
      <c r="A795" s="258">
        <v>61.5</v>
      </c>
      <c r="B795" s="251" t="s">
        <v>1327</v>
      </c>
      <c r="C795" s="259" t="s">
        <v>1328</v>
      </c>
      <c r="D795" s="260">
        <v>704.94</v>
      </c>
      <c r="E795" s="260">
        <v>369.79</v>
      </c>
      <c r="F795" s="260">
        <v>12.45</v>
      </c>
      <c r="G795" s="260">
        <v>322.7</v>
      </c>
      <c r="H795" s="261">
        <v>7060.17</v>
      </c>
      <c r="I795" s="261">
        <v>4825.93</v>
      </c>
      <c r="J795" s="261">
        <v>94.49</v>
      </c>
      <c r="K795" s="261">
        <v>2139.75</v>
      </c>
      <c r="L795" s="357">
        <v>10.015277895991147</v>
      </c>
      <c r="M795" s="357">
        <v>13.05</v>
      </c>
      <c r="N795" s="357">
        <v>7.5895582329317266</v>
      </c>
      <c r="O795" s="357">
        <v>6.6307716145026339</v>
      </c>
      <c r="P795" s="262"/>
      <c r="Q795" s="262"/>
      <c r="R795" s="262">
        <v>1</v>
      </c>
    </row>
    <row r="796" spans="1:18" ht="36">
      <c r="A796" s="258">
        <v>61.6</v>
      </c>
      <c r="B796" s="251" t="s">
        <v>1329</v>
      </c>
      <c r="C796" s="259" t="s">
        <v>1330</v>
      </c>
      <c r="D796" s="260">
        <v>1147.73</v>
      </c>
      <c r="E796" s="260">
        <v>478.92</v>
      </c>
      <c r="F796" s="260">
        <v>24.53</v>
      </c>
      <c r="G796" s="260">
        <v>644.28</v>
      </c>
      <c r="H796" s="261">
        <v>10707.09</v>
      </c>
      <c r="I796" s="261">
        <v>6250.13</v>
      </c>
      <c r="J796" s="261">
        <v>186.19</v>
      </c>
      <c r="K796" s="261">
        <v>4270.7700000000004</v>
      </c>
      <c r="L796" s="357">
        <v>9.3289275352216983</v>
      </c>
      <c r="M796" s="357">
        <v>13.05</v>
      </c>
      <c r="N796" s="357">
        <v>7.5902975947818989</v>
      </c>
      <c r="O796" s="357">
        <v>6.6287483702737946</v>
      </c>
      <c r="P796" s="262"/>
      <c r="Q796" s="262"/>
      <c r="R796" s="262">
        <v>1</v>
      </c>
    </row>
    <row r="797" spans="1:18" ht="36">
      <c r="A797" s="258">
        <v>61.7</v>
      </c>
      <c r="B797" s="251" t="s">
        <v>1331</v>
      </c>
      <c r="C797" s="259" t="s">
        <v>1332</v>
      </c>
      <c r="D797" s="260">
        <v>1438.23</v>
      </c>
      <c r="E797" s="260">
        <v>444.99</v>
      </c>
      <c r="F797" s="260">
        <v>10.98</v>
      </c>
      <c r="G797" s="260">
        <v>982.26</v>
      </c>
      <c r="H797" s="261">
        <v>9180.99</v>
      </c>
      <c r="I797" s="261">
        <v>5807.05</v>
      </c>
      <c r="J797" s="261">
        <v>83.37</v>
      </c>
      <c r="K797" s="261">
        <v>3290.57</v>
      </c>
      <c r="L797" s="357">
        <v>6.3835339271187497</v>
      </c>
      <c r="M797" s="357">
        <v>13.05</v>
      </c>
      <c r="N797" s="357">
        <v>7.5928961748633883</v>
      </c>
      <c r="O797" s="357">
        <v>3.349998981939609</v>
      </c>
      <c r="P797" s="262"/>
      <c r="Q797" s="262"/>
      <c r="R797" s="262">
        <v>1</v>
      </c>
    </row>
    <row r="798" spans="1:18" ht="36">
      <c r="A798" s="258">
        <v>61.8</v>
      </c>
      <c r="B798" s="251" t="s">
        <v>1333</v>
      </c>
      <c r="C798" s="259" t="s">
        <v>1334</v>
      </c>
      <c r="D798" s="260">
        <v>2562.3200000000002</v>
      </c>
      <c r="E798" s="260">
        <v>573.65</v>
      </c>
      <c r="F798" s="260">
        <v>22.33</v>
      </c>
      <c r="G798" s="260">
        <v>1966.34</v>
      </c>
      <c r="H798" s="261">
        <v>14242.75</v>
      </c>
      <c r="I798" s="261">
        <v>7486.01</v>
      </c>
      <c r="J798" s="261">
        <v>169.52</v>
      </c>
      <c r="K798" s="261">
        <v>6587.22</v>
      </c>
      <c r="L798" s="357">
        <v>5.5585367947797302</v>
      </c>
      <c r="M798" s="357">
        <v>13.05</v>
      </c>
      <c r="N798" s="357">
        <v>7.591580832960144</v>
      </c>
      <c r="O798" s="357">
        <v>3.3499903373780731</v>
      </c>
      <c r="P798" s="262"/>
      <c r="Q798" s="262"/>
      <c r="R798" s="262">
        <v>1</v>
      </c>
    </row>
    <row r="799" spans="1:18" ht="60">
      <c r="A799" s="258">
        <v>61.9</v>
      </c>
      <c r="B799" s="251" t="s">
        <v>1335</v>
      </c>
      <c r="C799" s="259" t="s">
        <v>1336</v>
      </c>
      <c r="D799" s="260">
        <v>8831.99</v>
      </c>
      <c r="E799" s="260">
        <v>861.25</v>
      </c>
      <c r="F799" s="260">
        <v>37.909999999999997</v>
      </c>
      <c r="G799" s="260">
        <v>7932.83</v>
      </c>
      <c r="H799" s="261">
        <v>31599.26</v>
      </c>
      <c r="I799" s="261">
        <v>11239</v>
      </c>
      <c r="J799" s="261">
        <v>374.62</v>
      </c>
      <c r="K799" s="261">
        <v>19985.64</v>
      </c>
      <c r="L799" s="357">
        <v>3.577818815465144</v>
      </c>
      <c r="M799" s="357">
        <v>13.05</v>
      </c>
      <c r="N799" s="357">
        <v>9.8818253758902674</v>
      </c>
      <c r="O799" s="357">
        <v>2.5193581609589515</v>
      </c>
      <c r="P799" s="262"/>
      <c r="Q799" s="262"/>
      <c r="R799" s="262">
        <v>1</v>
      </c>
    </row>
    <row r="800" spans="1:18" ht="60">
      <c r="A800" s="258">
        <v>61.1</v>
      </c>
      <c r="B800" s="251" t="s">
        <v>1337</v>
      </c>
      <c r="C800" s="259" t="s">
        <v>1338</v>
      </c>
      <c r="D800" s="260">
        <v>10382.719999999999</v>
      </c>
      <c r="E800" s="260">
        <v>1095.07</v>
      </c>
      <c r="F800" s="260">
        <v>41.42</v>
      </c>
      <c r="G800" s="260">
        <v>9246.23</v>
      </c>
      <c r="H800" s="261">
        <v>37989.99</v>
      </c>
      <c r="I800" s="261">
        <v>14290.69</v>
      </c>
      <c r="J800" s="261">
        <v>415.75</v>
      </c>
      <c r="K800" s="261">
        <v>23283.55</v>
      </c>
      <c r="L800" s="357">
        <v>3.6589631618689515</v>
      </c>
      <c r="M800" s="357">
        <v>13.05</v>
      </c>
      <c r="N800" s="357">
        <v>10.0374215354901</v>
      </c>
      <c r="O800" s="357">
        <v>2.5181668636839016</v>
      </c>
      <c r="P800" s="262"/>
      <c r="Q800" s="262"/>
      <c r="R800" s="262">
        <v>1</v>
      </c>
    </row>
    <row r="801" spans="1:18" ht="60">
      <c r="A801" s="258">
        <v>61.11</v>
      </c>
      <c r="B801" s="251" t="s">
        <v>1339</v>
      </c>
      <c r="C801" s="259" t="s">
        <v>1340</v>
      </c>
      <c r="D801" s="260">
        <v>15721.6</v>
      </c>
      <c r="E801" s="260">
        <v>1615.89</v>
      </c>
      <c r="F801" s="260">
        <v>54.15</v>
      </c>
      <c r="G801" s="260">
        <v>14051.56</v>
      </c>
      <c r="H801" s="261">
        <v>57058.28</v>
      </c>
      <c r="I801" s="261">
        <v>21087.599999999999</v>
      </c>
      <c r="J801" s="261">
        <v>564.85</v>
      </c>
      <c r="K801" s="261">
        <v>35405.83</v>
      </c>
      <c r="L801" s="357">
        <v>3.6292921840016281</v>
      </c>
      <c r="M801" s="357">
        <v>13.05</v>
      </c>
      <c r="N801" s="357">
        <v>10.431209602954755</v>
      </c>
      <c r="O801" s="357">
        <v>2.5197081320508188</v>
      </c>
      <c r="P801" s="262"/>
      <c r="Q801" s="262"/>
      <c r="R801" s="262">
        <v>1</v>
      </c>
    </row>
    <row r="802" spans="1:18" ht="72">
      <c r="A802" s="263">
        <v>61.12</v>
      </c>
      <c r="B802" s="264" t="s">
        <v>1341</v>
      </c>
      <c r="C802" s="265" t="s">
        <v>1342</v>
      </c>
      <c r="D802" s="266">
        <v>17538.39</v>
      </c>
      <c r="E802" s="266">
        <v>3432.68</v>
      </c>
      <c r="F802" s="266">
        <v>54.15</v>
      </c>
      <c r="G802" s="266">
        <v>14051.56</v>
      </c>
      <c r="H802" s="267">
        <v>80767.509999999995</v>
      </c>
      <c r="I802" s="267">
        <v>44796.83</v>
      </c>
      <c r="J802" s="267">
        <v>564.85</v>
      </c>
      <c r="K802" s="267">
        <v>35405.83</v>
      </c>
      <c r="L802" s="356">
        <v>4.6051838281621063</v>
      </c>
      <c r="M802" s="356">
        <v>13.05</v>
      </c>
      <c r="N802" s="356">
        <v>10.431209602954755</v>
      </c>
      <c r="O802" s="356">
        <v>2.5197081320508188</v>
      </c>
      <c r="P802" s="268"/>
      <c r="Q802" s="268"/>
      <c r="R802" s="268">
        <v>1</v>
      </c>
    </row>
    <row r="803" spans="1:18" ht="12.75">
      <c r="A803" s="428" t="s">
        <v>1343</v>
      </c>
      <c r="B803" s="429"/>
      <c r="C803" s="429"/>
      <c r="D803" s="429"/>
      <c r="E803" s="429"/>
      <c r="F803" s="429"/>
      <c r="G803" s="429"/>
      <c r="H803" s="429"/>
      <c r="I803" s="429"/>
      <c r="J803" s="429"/>
      <c r="K803" s="429"/>
      <c r="L803" s="429"/>
      <c r="M803" s="429"/>
      <c r="N803" s="429"/>
      <c r="O803" s="429"/>
      <c r="P803" s="429"/>
      <c r="Q803" s="429"/>
      <c r="R803" s="429"/>
    </row>
    <row r="804" spans="1:18" ht="36">
      <c r="A804" s="258">
        <v>61.13</v>
      </c>
      <c r="B804" s="251" t="s">
        <v>1344</v>
      </c>
      <c r="C804" s="259" t="s">
        <v>1345</v>
      </c>
      <c r="D804" s="260">
        <v>3419.19</v>
      </c>
      <c r="E804" s="260">
        <v>2148.48</v>
      </c>
      <c r="F804" s="260">
        <v>24.53</v>
      </c>
      <c r="G804" s="260">
        <v>1246.18</v>
      </c>
      <c r="H804" s="261">
        <v>35532.15</v>
      </c>
      <c r="I804" s="261">
        <v>28037.87</v>
      </c>
      <c r="J804" s="261">
        <v>186.19</v>
      </c>
      <c r="K804" s="261">
        <v>7308.09</v>
      </c>
      <c r="L804" s="357">
        <v>10.391978801996965</v>
      </c>
      <c r="M804" s="357">
        <v>13.05</v>
      </c>
      <c r="N804" s="357">
        <v>7.5902975947818989</v>
      </c>
      <c r="O804" s="357">
        <v>5.8643935868012642</v>
      </c>
      <c r="P804" s="262"/>
      <c r="Q804" s="262"/>
      <c r="R804" s="262">
        <v>2</v>
      </c>
    </row>
    <row r="805" spans="1:18" ht="48">
      <c r="A805" s="258">
        <v>61.14</v>
      </c>
      <c r="B805" s="251" t="s">
        <v>1346</v>
      </c>
      <c r="C805" s="259" t="s">
        <v>1347</v>
      </c>
      <c r="D805" s="260">
        <v>944.01</v>
      </c>
      <c r="E805" s="260">
        <v>309.04000000000002</v>
      </c>
      <c r="F805" s="260">
        <v>12.45</v>
      </c>
      <c r="G805" s="260">
        <v>622.52</v>
      </c>
      <c r="H805" s="261">
        <v>7777.19</v>
      </c>
      <c r="I805" s="261">
        <v>4033.02</v>
      </c>
      <c r="J805" s="261">
        <v>94.49</v>
      </c>
      <c r="K805" s="261">
        <v>3649.68</v>
      </c>
      <c r="L805" s="357">
        <v>8.2384614569760917</v>
      </c>
      <c r="M805" s="357">
        <v>13.05</v>
      </c>
      <c r="N805" s="357">
        <v>7.5895582329317266</v>
      </c>
      <c r="O805" s="357">
        <v>5.8627513975454599</v>
      </c>
      <c r="P805" s="262"/>
      <c r="Q805" s="262"/>
      <c r="R805" s="262">
        <v>2</v>
      </c>
    </row>
    <row r="806" spans="1:18" ht="36">
      <c r="A806" s="258">
        <v>61.15</v>
      </c>
      <c r="B806" s="251" t="s">
        <v>1348</v>
      </c>
      <c r="C806" s="259" t="s">
        <v>1349</v>
      </c>
      <c r="D806" s="260">
        <v>2816.13</v>
      </c>
      <c r="E806" s="260">
        <v>1545.42</v>
      </c>
      <c r="F806" s="260">
        <v>24.53</v>
      </c>
      <c r="G806" s="260">
        <v>1246.18</v>
      </c>
      <c r="H806" s="261">
        <v>27662.16</v>
      </c>
      <c r="I806" s="261">
        <v>20167.88</v>
      </c>
      <c r="J806" s="261">
        <v>186.19</v>
      </c>
      <c r="K806" s="261">
        <v>7308.09</v>
      </c>
      <c r="L806" s="357">
        <v>9.8227567619392566</v>
      </c>
      <c r="M806" s="357">
        <v>13.05</v>
      </c>
      <c r="N806" s="357">
        <v>7.5902975947818989</v>
      </c>
      <c r="O806" s="357">
        <v>5.8643935868012642</v>
      </c>
      <c r="P806" s="262"/>
      <c r="Q806" s="262"/>
      <c r="R806" s="262">
        <v>2</v>
      </c>
    </row>
    <row r="807" spans="1:18" ht="48">
      <c r="A807" s="258">
        <v>61.16</v>
      </c>
      <c r="B807" s="251" t="s">
        <v>1350</v>
      </c>
      <c r="C807" s="259" t="s">
        <v>1351</v>
      </c>
      <c r="D807" s="260">
        <v>853.55</v>
      </c>
      <c r="E807" s="260">
        <v>218.58</v>
      </c>
      <c r="F807" s="260">
        <v>12.45</v>
      </c>
      <c r="G807" s="260">
        <v>622.52</v>
      </c>
      <c r="H807" s="261">
        <v>6596.7</v>
      </c>
      <c r="I807" s="261">
        <v>2852.53</v>
      </c>
      <c r="J807" s="261">
        <v>94.49</v>
      </c>
      <c r="K807" s="261">
        <v>3649.68</v>
      </c>
      <c r="L807" s="357">
        <v>7.7285454864975689</v>
      </c>
      <c r="M807" s="357">
        <v>13.05</v>
      </c>
      <c r="N807" s="357">
        <v>7.5895582329317266</v>
      </c>
      <c r="O807" s="357">
        <v>5.8627513975454599</v>
      </c>
      <c r="P807" s="262"/>
      <c r="Q807" s="262"/>
      <c r="R807" s="262">
        <v>2</v>
      </c>
    </row>
    <row r="808" spans="1:18" ht="36">
      <c r="A808" s="258">
        <v>61.17</v>
      </c>
      <c r="B808" s="251" t="s">
        <v>1352</v>
      </c>
      <c r="C808" s="259" t="s">
        <v>1353</v>
      </c>
      <c r="D808" s="260">
        <v>2645.26</v>
      </c>
      <c r="E808" s="260">
        <v>1374.55</v>
      </c>
      <c r="F808" s="260">
        <v>24.53</v>
      </c>
      <c r="G808" s="260">
        <v>1246.18</v>
      </c>
      <c r="H808" s="261">
        <v>25432.33</v>
      </c>
      <c r="I808" s="261">
        <v>17938.05</v>
      </c>
      <c r="J808" s="261">
        <v>186.19</v>
      </c>
      <c r="K808" s="261">
        <v>7308.09</v>
      </c>
      <c r="L808" s="357">
        <v>9.6143025638311546</v>
      </c>
      <c r="M808" s="357">
        <v>13.05</v>
      </c>
      <c r="N808" s="357">
        <v>7.5902975947818989</v>
      </c>
      <c r="O808" s="357">
        <v>5.8643935868012642</v>
      </c>
      <c r="P808" s="262"/>
      <c r="Q808" s="262"/>
      <c r="R808" s="262">
        <v>2</v>
      </c>
    </row>
    <row r="809" spans="1:18" ht="48">
      <c r="A809" s="258">
        <v>61.18</v>
      </c>
      <c r="B809" s="251" t="s">
        <v>1354</v>
      </c>
      <c r="C809" s="259" t="s">
        <v>1355</v>
      </c>
      <c r="D809" s="260">
        <v>833.45</v>
      </c>
      <c r="E809" s="260">
        <v>198.48</v>
      </c>
      <c r="F809" s="260">
        <v>12.45</v>
      </c>
      <c r="G809" s="260">
        <v>622.52</v>
      </c>
      <c r="H809" s="261">
        <v>6334.36</v>
      </c>
      <c r="I809" s="261">
        <v>2590.19</v>
      </c>
      <c r="J809" s="261">
        <v>94.49</v>
      </c>
      <c r="K809" s="261">
        <v>3649.68</v>
      </c>
      <c r="L809" s="357">
        <v>7.6001679764832915</v>
      </c>
      <c r="M809" s="357">
        <v>13.05</v>
      </c>
      <c r="N809" s="357">
        <v>7.5895582329317266</v>
      </c>
      <c r="O809" s="357">
        <v>5.8627513975454599</v>
      </c>
      <c r="P809" s="262"/>
      <c r="Q809" s="262"/>
      <c r="R809" s="262">
        <v>2</v>
      </c>
    </row>
    <row r="810" spans="1:18" ht="48">
      <c r="A810" s="258">
        <v>61.19</v>
      </c>
      <c r="B810" s="251" t="s">
        <v>1356</v>
      </c>
      <c r="C810" s="259" t="s">
        <v>1357</v>
      </c>
      <c r="D810" s="260">
        <v>3704.93</v>
      </c>
      <c r="E810" s="260">
        <v>2415.94</v>
      </c>
      <c r="F810" s="260">
        <v>24.53</v>
      </c>
      <c r="G810" s="260">
        <v>1264.46</v>
      </c>
      <c r="H810" s="261">
        <v>40095.06</v>
      </c>
      <c r="I810" s="261">
        <v>31528.28</v>
      </c>
      <c r="J810" s="261">
        <v>186.19</v>
      </c>
      <c r="K810" s="261">
        <v>8380.59</v>
      </c>
      <c r="L810" s="357">
        <v>10.822083008315946</v>
      </c>
      <c r="M810" s="357">
        <v>13.05</v>
      </c>
      <c r="N810" s="357">
        <v>7.5902975947818989</v>
      </c>
      <c r="O810" s="357">
        <v>6.6278015911930783</v>
      </c>
      <c r="P810" s="262"/>
      <c r="Q810" s="262"/>
      <c r="R810" s="262">
        <v>2</v>
      </c>
    </row>
    <row r="811" spans="1:18" ht="60">
      <c r="A811" s="258">
        <v>61.2</v>
      </c>
      <c r="B811" s="251" t="s">
        <v>1358</v>
      </c>
      <c r="C811" s="259" t="s">
        <v>1359</v>
      </c>
      <c r="D811" s="260">
        <v>988.81</v>
      </c>
      <c r="E811" s="260">
        <v>344.7</v>
      </c>
      <c r="F811" s="260">
        <v>12.45</v>
      </c>
      <c r="G811" s="260">
        <v>631.66</v>
      </c>
      <c r="H811" s="261">
        <v>8778.74</v>
      </c>
      <c r="I811" s="261">
        <v>4498.32</v>
      </c>
      <c r="J811" s="261">
        <v>94.49</v>
      </c>
      <c r="K811" s="261">
        <v>4185.93</v>
      </c>
      <c r="L811" s="357">
        <v>8.8780857798768213</v>
      </c>
      <c r="M811" s="357">
        <v>13.05</v>
      </c>
      <c r="N811" s="357">
        <v>7.5895582329317266</v>
      </c>
      <c r="O811" s="357">
        <v>6.6268720514200687</v>
      </c>
      <c r="P811" s="262"/>
      <c r="Q811" s="262"/>
      <c r="R811" s="262">
        <v>2</v>
      </c>
    </row>
    <row r="812" spans="1:18" ht="48">
      <c r="A812" s="258">
        <v>61.21</v>
      </c>
      <c r="B812" s="251" t="s">
        <v>1360</v>
      </c>
      <c r="C812" s="259" t="s">
        <v>1361</v>
      </c>
      <c r="D812" s="260">
        <v>2951.11</v>
      </c>
      <c r="E812" s="260">
        <v>1662.12</v>
      </c>
      <c r="F812" s="260">
        <v>24.53</v>
      </c>
      <c r="G812" s="260">
        <v>1264.46</v>
      </c>
      <c r="H812" s="261">
        <v>30257.58</v>
      </c>
      <c r="I812" s="261">
        <v>21690.799999999999</v>
      </c>
      <c r="J812" s="261">
        <v>186.19</v>
      </c>
      <c r="K812" s="261">
        <v>8380.59</v>
      </c>
      <c r="L812" s="357">
        <v>10.252948890417503</v>
      </c>
      <c r="M812" s="357">
        <v>13.05</v>
      </c>
      <c r="N812" s="357">
        <v>7.5902975947818989</v>
      </c>
      <c r="O812" s="357">
        <v>6.6278015911930783</v>
      </c>
      <c r="P812" s="262"/>
      <c r="Q812" s="262"/>
      <c r="R812" s="262">
        <v>2</v>
      </c>
    </row>
    <row r="813" spans="1:18" ht="60">
      <c r="A813" s="258">
        <v>61.22</v>
      </c>
      <c r="B813" s="251" t="s">
        <v>1362</v>
      </c>
      <c r="C813" s="259" t="s">
        <v>1363</v>
      </c>
      <c r="D813" s="260">
        <v>878.25</v>
      </c>
      <c r="E813" s="260">
        <v>234.14</v>
      </c>
      <c r="F813" s="260">
        <v>12.45</v>
      </c>
      <c r="G813" s="260">
        <v>631.66</v>
      </c>
      <c r="H813" s="261">
        <v>7335.91</v>
      </c>
      <c r="I813" s="261">
        <v>3055.49</v>
      </c>
      <c r="J813" s="261">
        <v>94.49</v>
      </c>
      <c r="K813" s="261">
        <v>4185.93</v>
      </c>
      <c r="L813" s="357">
        <v>8.3528721890122402</v>
      </c>
      <c r="M813" s="357">
        <v>13.05</v>
      </c>
      <c r="N813" s="357">
        <v>7.5895582329317266</v>
      </c>
      <c r="O813" s="357">
        <v>6.6268720514200687</v>
      </c>
      <c r="P813" s="262"/>
      <c r="Q813" s="262"/>
      <c r="R813" s="262">
        <v>2</v>
      </c>
    </row>
    <row r="814" spans="1:18" ht="48">
      <c r="A814" s="258">
        <v>61.23</v>
      </c>
      <c r="B814" s="251" t="s">
        <v>1364</v>
      </c>
      <c r="C814" s="259" t="s">
        <v>1365</v>
      </c>
      <c r="D814" s="260">
        <v>2798.23</v>
      </c>
      <c r="E814" s="260">
        <v>1509.24</v>
      </c>
      <c r="F814" s="260">
        <v>24.53</v>
      </c>
      <c r="G814" s="260">
        <v>1264.46</v>
      </c>
      <c r="H814" s="261">
        <v>28262.47</v>
      </c>
      <c r="I814" s="261">
        <v>19695.689999999999</v>
      </c>
      <c r="J814" s="261">
        <v>186.19</v>
      </c>
      <c r="K814" s="261">
        <v>8380.59</v>
      </c>
      <c r="L814" s="357">
        <v>10.100124006961543</v>
      </c>
      <c r="M814" s="357">
        <v>13.05</v>
      </c>
      <c r="N814" s="357">
        <v>7.5902975947818989</v>
      </c>
      <c r="O814" s="357">
        <v>6.6278015911930783</v>
      </c>
      <c r="P814" s="262"/>
      <c r="Q814" s="262"/>
      <c r="R814" s="262">
        <v>2</v>
      </c>
    </row>
    <row r="815" spans="1:18" ht="60">
      <c r="A815" s="263">
        <v>61.24</v>
      </c>
      <c r="B815" s="264" t="s">
        <v>1366</v>
      </c>
      <c r="C815" s="265" t="s">
        <v>1367</v>
      </c>
      <c r="D815" s="266">
        <v>859.2</v>
      </c>
      <c r="E815" s="266">
        <v>215.09</v>
      </c>
      <c r="F815" s="266">
        <v>12.45</v>
      </c>
      <c r="G815" s="266">
        <v>631.66</v>
      </c>
      <c r="H815" s="267">
        <v>7087.38</v>
      </c>
      <c r="I815" s="267">
        <v>2806.96</v>
      </c>
      <c r="J815" s="267">
        <v>94.49</v>
      </c>
      <c r="K815" s="267">
        <v>4185.93</v>
      </c>
      <c r="L815" s="356">
        <v>8.248812849162011</v>
      </c>
      <c r="M815" s="356">
        <v>13.05</v>
      </c>
      <c r="N815" s="356">
        <v>7.5895582329317266</v>
      </c>
      <c r="O815" s="356">
        <v>6.6268720514200687</v>
      </c>
      <c r="P815" s="268"/>
      <c r="Q815" s="268"/>
      <c r="R815" s="268">
        <v>2</v>
      </c>
    </row>
    <row r="816" spans="1:18" ht="12.75">
      <c r="A816" s="428" t="s">
        <v>1368</v>
      </c>
      <c r="B816" s="429"/>
      <c r="C816" s="429"/>
      <c r="D816" s="429"/>
      <c r="E816" s="429"/>
      <c r="F816" s="429"/>
      <c r="G816" s="429"/>
      <c r="H816" s="429"/>
      <c r="I816" s="429"/>
      <c r="J816" s="429"/>
      <c r="K816" s="429"/>
      <c r="L816" s="429"/>
      <c r="M816" s="429"/>
      <c r="N816" s="429"/>
      <c r="O816" s="429"/>
      <c r="P816" s="429"/>
      <c r="Q816" s="429"/>
      <c r="R816" s="429"/>
    </row>
    <row r="817" spans="1:18" ht="36">
      <c r="A817" s="258">
        <v>61.25</v>
      </c>
      <c r="B817" s="251" t="s">
        <v>1369</v>
      </c>
      <c r="C817" s="259" t="s">
        <v>1370</v>
      </c>
      <c r="D817" s="260">
        <v>4476.38</v>
      </c>
      <c r="E817" s="260">
        <v>2308.61</v>
      </c>
      <c r="F817" s="260">
        <v>28.56</v>
      </c>
      <c r="G817" s="260">
        <v>2139.21</v>
      </c>
      <c r="H817" s="261">
        <v>43483.05</v>
      </c>
      <c r="I817" s="261">
        <v>30126.86</v>
      </c>
      <c r="J817" s="261">
        <v>216.76</v>
      </c>
      <c r="K817" s="261">
        <v>13139.43</v>
      </c>
      <c r="L817" s="357">
        <v>9.7138871141413379</v>
      </c>
      <c r="M817" s="357">
        <v>13.05</v>
      </c>
      <c r="N817" s="357">
        <v>7.5896358543417364</v>
      </c>
      <c r="O817" s="357">
        <v>6.1421880039827785</v>
      </c>
      <c r="P817" s="262"/>
      <c r="Q817" s="262"/>
      <c r="R817" s="262">
        <v>3</v>
      </c>
    </row>
    <row r="818" spans="1:18" ht="48">
      <c r="A818" s="258">
        <v>61.26</v>
      </c>
      <c r="B818" s="251" t="s">
        <v>1371</v>
      </c>
      <c r="C818" s="259" t="s">
        <v>1372</v>
      </c>
      <c r="D818" s="260">
        <v>1031.3800000000001</v>
      </c>
      <c r="E818" s="260">
        <v>365.85</v>
      </c>
      <c r="F818" s="260">
        <v>12.45</v>
      </c>
      <c r="G818" s="260">
        <v>653.08000000000004</v>
      </c>
      <c r="H818" s="261">
        <v>8814.75</v>
      </c>
      <c r="I818" s="261">
        <v>4774.3100000000004</v>
      </c>
      <c r="J818" s="261">
        <v>94.49</v>
      </c>
      <c r="K818" s="261">
        <v>3945.95</v>
      </c>
      <c r="L818" s="357">
        <v>8.5465589792317083</v>
      </c>
      <c r="M818" s="357">
        <v>13.05</v>
      </c>
      <c r="N818" s="357">
        <v>7.5895582329317266</v>
      </c>
      <c r="O818" s="357">
        <v>6.0420622282109386</v>
      </c>
      <c r="P818" s="262"/>
      <c r="Q818" s="262"/>
      <c r="R818" s="262">
        <v>3</v>
      </c>
    </row>
    <row r="819" spans="1:18" ht="48">
      <c r="A819" s="258">
        <v>61.27</v>
      </c>
      <c r="B819" s="251" t="s">
        <v>1373</v>
      </c>
      <c r="C819" s="259" t="s">
        <v>1374</v>
      </c>
      <c r="D819" s="260">
        <v>3853.67</v>
      </c>
      <c r="E819" s="260">
        <v>1685.9</v>
      </c>
      <c r="F819" s="260">
        <v>28.56</v>
      </c>
      <c r="G819" s="260">
        <v>2139.21</v>
      </c>
      <c r="H819" s="261">
        <v>35356.76</v>
      </c>
      <c r="I819" s="261">
        <v>22000.57</v>
      </c>
      <c r="J819" s="261">
        <v>216.76</v>
      </c>
      <c r="K819" s="261">
        <v>13139.43</v>
      </c>
      <c r="L819" s="357">
        <v>9.1748281508276524</v>
      </c>
      <c r="M819" s="357">
        <v>13.05</v>
      </c>
      <c r="N819" s="357">
        <v>7.5896358543417364</v>
      </c>
      <c r="O819" s="357">
        <v>6.1421880039827785</v>
      </c>
      <c r="P819" s="262"/>
      <c r="Q819" s="262"/>
      <c r="R819" s="262">
        <v>3</v>
      </c>
    </row>
    <row r="820" spans="1:18" ht="48">
      <c r="A820" s="258">
        <v>61.28</v>
      </c>
      <c r="B820" s="251" t="s">
        <v>1375</v>
      </c>
      <c r="C820" s="259" t="s">
        <v>1376</v>
      </c>
      <c r="D820" s="260">
        <v>906.4</v>
      </c>
      <c r="E820" s="260">
        <v>240.87</v>
      </c>
      <c r="F820" s="260">
        <v>12.45</v>
      </c>
      <c r="G820" s="260">
        <v>653.08000000000004</v>
      </c>
      <c r="H820" s="261">
        <v>7183.77</v>
      </c>
      <c r="I820" s="261">
        <v>3143.33</v>
      </c>
      <c r="J820" s="261">
        <v>94.49</v>
      </c>
      <c r="K820" s="261">
        <v>3945.95</v>
      </c>
      <c r="L820" s="357">
        <v>7.9256067961165053</v>
      </c>
      <c r="M820" s="357">
        <v>13.05</v>
      </c>
      <c r="N820" s="357">
        <v>7.5895582329317266</v>
      </c>
      <c r="O820" s="357">
        <v>6.0420622282109386</v>
      </c>
      <c r="P820" s="262"/>
      <c r="Q820" s="262"/>
      <c r="R820" s="262">
        <v>3</v>
      </c>
    </row>
    <row r="821" spans="1:18" ht="48">
      <c r="A821" s="258">
        <v>61.29</v>
      </c>
      <c r="B821" s="251" t="s">
        <v>1377</v>
      </c>
      <c r="C821" s="259" t="s">
        <v>1378</v>
      </c>
      <c r="D821" s="260">
        <v>3772.05</v>
      </c>
      <c r="E821" s="260">
        <v>1604.28</v>
      </c>
      <c r="F821" s="260">
        <v>28.56</v>
      </c>
      <c r="G821" s="260">
        <v>2139.21</v>
      </c>
      <c r="H821" s="261">
        <v>34291.71</v>
      </c>
      <c r="I821" s="261">
        <v>20935.52</v>
      </c>
      <c r="J821" s="261">
        <v>216.76</v>
      </c>
      <c r="K821" s="261">
        <v>13139.43</v>
      </c>
      <c r="L821" s="357">
        <v>9.0910009146220219</v>
      </c>
      <c r="M821" s="357">
        <v>13.05</v>
      </c>
      <c r="N821" s="357">
        <v>7.5896358543417364</v>
      </c>
      <c r="O821" s="357">
        <v>6.1421880039827785</v>
      </c>
      <c r="P821" s="262"/>
      <c r="Q821" s="262"/>
      <c r="R821" s="262">
        <v>3</v>
      </c>
    </row>
    <row r="822" spans="1:18" ht="48">
      <c r="A822" s="263">
        <v>61.3</v>
      </c>
      <c r="B822" s="264" t="s">
        <v>1379</v>
      </c>
      <c r="C822" s="265" t="s">
        <v>1380</v>
      </c>
      <c r="D822" s="266">
        <v>935.56</v>
      </c>
      <c r="E822" s="266">
        <v>270.02999999999997</v>
      </c>
      <c r="F822" s="266">
        <v>12.45</v>
      </c>
      <c r="G822" s="266">
        <v>653.08000000000004</v>
      </c>
      <c r="H822" s="267">
        <v>7564.24</v>
      </c>
      <c r="I822" s="267">
        <v>3523.8</v>
      </c>
      <c r="J822" s="267">
        <v>94.49</v>
      </c>
      <c r="K822" s="267">
        <v>3945.95</v>
      </c>
      <c r="L822" s="356">
        <v>8.0852537517636502</v>
      </c>
      <c r="M822" s="356">
        <v>13.05</v>
      </c>
      <c r="N822" s="356">
        <v>7.5895582329317266</v>
      </c>
      <c r="O822" s="356">
        <v>6.0420622282109386</v>
      </c>
      <c r="P822" s="268"/>
      <c r="Q822" s="268"/>
      <c r="R822" s="268">
        <v>3</v>
      </c>
    </row>
    <row r="823" spans="1:18" ht="12.75">
      <c r="A823" s="428" t="s">
        <v>1381</v>
      </c>
      <c r="B823" s="429"/>
      <c r="C823" s="429"/>
      <c r="D823" s="429"/>
      <c r="E823" s="429"/>
      <c r="F823" s="429"/>
      <c r="G823" s="429"/>
      <c r="H823" s="429"/>
      <c r="I823" s="429"/>
      <c r="J823" s="429"/>
      <c r="K823" s="429"/>
      <c r="L823" s="429"/>
      <c r="M823" s="429"/>
      <c r="N823" s="429"/>
      <c r="O823" s="429"/>
      <c r="P823" s="429"/>
      <c r="Q823" s="429"/>
      <c r="R823" s="429"/>
    </row>
    <row r="824" spans="1:18" ht="36">
      <c r="A824" s="258">
        <v>61.31</v>
      </c>
      <c r="B824" s="251" t="s">
        <v>1382</v>
      </c>
      <c r="C824" s="259" t="s">
        <v>1383</v>
      </c>
      <c r="D824" s="260">
        <v>3795.41</v>
      </c>
      <c r="E824" s="260">
        <v>2460.62</v>
      </c>
      <c r="F824" s="260">
        <v>26.36</v>
      </c>
      <c r="G824" s="260">
        <v>1308.43</v>
      </c>
      <c r="H824" s="261">
        <v>39985.31</v>
      </c>
      <c r="I824" s="261">
        <v>32112.16</v>
      </c>
      <c r="J824" s="261">
        <v>200.09</v>
      </c>
      <c r="K824" s="261">
        <v>7673.06</v>
      </c>
      <c r="L824" s="357">
        <v>10.535175382896709</v>
      </c>
      <c r="M824" s="357">
        <v>13.05</v>
      </c>
      <c r="N824" s="357">
        <v>7.5906676783004556</v>
      </c>
      <c r="O824" s="357">
        <v>5.8643259478917482</v>
      </c>
      <c r="P824" s="262"/>
      <c r="Q824" s="262"/>
      <c r="R824" s="262">
        <v>4</v>
      </c>
    </row>
    <row r="825" spans="1:18" ht="48">
      <c r="A825" s="258">
        <v>61.32</v>
      </c>
      <c r="B825" s="251" t="s">
        <v>1384</v>
      </c>
      <c r="C825" s="259" t="s">
        <v>1385</v>
      </c>
      <c r="D825" s="260">
        <v>1091.0999999999999</v>
      </c>
      <c r="E825" s="260">
        <v>421.44</v>
      </c>
      <c r="F825" s="260">
        <v>13.18</v>
      </c>
      <c r="G825" s="260">
        <v>656.48</v>
      </c>
      <c r="H825" s="261">
        <v>9448.74</v>
      </c>
      <c r="I825" s="261">
        <v>5499.95</v>
      </c>
      <c r="J825" s="261">
        <v>100.04</v>
      </c>
      <c r="K825" s="261">
        <v>3848.75</v>
      </c>
      <c r="L825" s="357">
        <v>8.6598295298322796</v>
      </c>
      <c r="M825" s="357">
        <v>13.05</v>
      </c>
      <c r="N825" s="357">
        <v>7.5902883156297429</v>
      </c>
      <c r="O825" s="357">
        <v>5.8627071654886667</v>
      </c>
      <c r="P825" s="262"/>
      <c r="Q825" s="262"/>
      <c r="R825" s="262">
        <v>4</v>
      </c>
    </row>
    <row r="826" spans="1:18" ht="36">
      <c r="A826" s="258">
        <v>61.33</v>
      </c>
      <c r="B826" s="251" t="s">
        <v>1386</v>
      </c>
      <c r="C826" s="259" t="s">
        <v>1387</v>
      </c>
      <c r="D826" s="260">
        <v>3431.27</v>
      </c>
      <c r="E826" s="260">
        <v>2096.48</v>
      </c>
      <c r="F826" s="260">
        <v>26.36</v>
      </c>
      <c r="G826" s="260">
        <v>1308.43</v>
      </c>
      <c r="H826" s="261">
        <v>35233.129999999997</v>
      </c>
      <c r="I826" s="261">
        <v>27359.98</v>
      </c>
      <c r="J826" s="261">
        <v>200.09</v>
      </c>
      <c r="K826" s="261">
        <v>7673.06</v>
      </c>
      <c r="L826" s="357">
        <v>10.268247616771632</v>
      </c>
      <c r="M826" s="357">
        <v>13.05</v>
      </c>
      <c r="N826" s="357">
        <v>7.5906676783004556</v>
      </c>
      <c r="O826" s="357">
        <v>5.8643259478917482</v>
      </c>
      <c r="P826" s="262"/>
      <c r="Q826" s="262"/>
      <c r="R826" s="262">
        <v>4</v>
      </c>
    </row>
    <row r="827" spans="1:18" ht="48">
      <c r="A827" s="258">
        <v>61.34</v>
      </c>
      <c r="B827" s="251" t="s">
        <v>1388</v>
      </c>
      <c r="C827" s="259" t="s">
        <v>1389</v>
      </c>
      <c r="D827" s="260">
        <v>1026.8399999999999</v>
      </c>
      <c r="E827" s="260">
        <v>357.18</v>
      </c>
      <c r="F827" s="260">
        <v>13.18</v>
      </c>
      <c r="G827" s="260">
        <v>656.48</v>
      </c>
      <c r="H827" s="261">
        <v>8610.1200000000008</v>
      </c>
      <c r="I827" s="261">
        <v>4661.33</v>
      </c>
      <c r="J827" s="261">
        <v>100.04</v>
      </c>
      <c r="K827" s="261">
        <v>3848.75</v>
      </c>
      <c r="L827" s="357">
        <v>8.3850648591796197</v>
      </c>
      <c r="M827" s="357">
        <v>13.05</v>
      </c>
      <c r="N827" s="357">
        <v>7.5902883156297429</v>
      </c>
      <c r="O827" s="357">
        <v>5.8627071654886667</v>
      </c>
      <c r="P827" s="262"/>
      <c r="Q827" s="262"/>
      <c r="R827" s="262">
        <v>4</v>
      </c>
    </row>
    <row r="828" spans="1:18" ht="36">
      <c r="A828" s="258">
        <v>61.35</v>
      </c>
      <c r="B828" s="251" t="s">
        <v>1390</v>
      </c>
      <c r="C828" s="259" t="s">
        <v>1391</v>
      </c>
      <c r="D828" s="260">
        <v>3152.81</v>
      </c>
      <c r="E828" s="260">
        <v>1818.02</v>
      </c>
      <c r="F828" s="260">
        <v>26.36</v>
      </c>
      <c r="G828" s="260">
        <v>1308.43</v>
      </c>
      <c r="H828" s="261">
        <v>31599.11</v>
      </c>
      <c r="I828" s="261">
        <v>23725.96</v>
      </c>
      <c r="J828" s="261">
        <v>200.09</v>
      </c>
      <c r="K828" s="261">
        <v>7673.06</v>
      </c>
      <c r="L828" s="357">
        <v>10.022522765406098</v>
      </c>
      <c r="M828" s="357">
        <v>13.05</v>
      </c>
      <c r="N828" s="357">
        <v>7.5906676783004556</v>
      </c>
      <c r="O828" s="357">
        <v>5.8643259478917482</v>
      </c>
      <c r="P828" s="262"/>
      <c r="Q828" s="262"/>
      <c r="R828" s="262">
        <v>4</v>
      </c>
    </row>
    <row r="829" spans="1:18" ht="48">
      <c r="A829" s="258">
        <v>61.36</v>
      </c>
      <c r="B829" s="251" t="s">
        <v>1392</v>
      </c>
      <c r="C829" s="259" t="s">
        <v>1393</v>
      </c>
      <c r="D829" s="260">
        <v>994.71</v>
      </c>
      <c r="E829" s="260">
        <v>325.05</v>
      </c>
      <c r="F829" s="260">
        <v>13.18</v>
      </c>
      <c r="G829" s="260">
        <v>656.48</v>
      </c>
      <c r="H829" s="261">
        <v>8190.81</v>
      </c>
      <c r="I829" s="261">
        <v>4242.0200000000004</v>
      </c>
      <c r="J829" s="261">
        <v>100.04</v>
      </c>
      <c r="K829" s="261">
        <v>3848.75</v>
      </c>
      <c r="L829" s="357">
        <v>8.2343698163283765</v>
      </c>
      <c r="M829" s="357">
        <v>13.05</v>
      </c>
      <c r="N829" s="357">
        <v>7.5902883156297429</v>
      </c>
      <c r="O829" s="357">
        <v>5.8627071654886667</v>
      </c>
      <c r="P829" s="262"/>
      <c r="Q829" s="262"/>
      <c r="R829" s="262">
        <v>4</v>
      </c>
    </row>
    <row r="830" spans="1:18" ht="36">
      <c r="A830" s="258">
        <v>61.37</v>
      </c>
      <c r="B830" s="251" t="s">
        <v>1394</v>
      </c>
      <c r="C830" s="259" t="s">
        <v>1395</v>
      </c>
      <c r="D830" s="260">
        <v>4462.7700000000004</v>
      </c>
      <c r="E830" s="260">
        <v>3108.79</v>
      </c>
      <c r="F830" s="260">
        <v>26.36</v>
      </c>
      <c r="G830" s="260">
        <v>1327.62</v>
      </c>
      <c r="H830" s="261">
        <v>49570.31</v>
      </c>
      <c r="I830" s="261">
        <v>40571.040000000001</v>
      </c>
      <c r="J830" s="261">
        <v>200.09</v>
      </c>
      <c r="K830" s="261">
        <v>8799.18</v>
      </c>
      <c r="L830" s="357">
        <v>11.10752066541632</v>
      </c>
      <c r="M830" s="357">
        <v>13.05</v>
      </c>
      <c r="N830" s="357">
        <v>7.5906676783004556</v>
      </c>
      <c r="O830" s="357">
        <v>6.6277850589777199</v>
      </c>
      <c r="P830" s="262"/>
      <c r="Q830" s="262"/>
      <c r="R830" s="262">
        <v>4</v>
      </c>
    </row>
    <row r="831" spans="1:18" ht="48">
      <c r="A831" s="258">
        <v>61.38</v>
      </c>
      <c r="B831" s="251" t="s">
        <v>1396</v>
      </c>
      <c r="C831" s="259" t="s">
        <v>1397</v>
      </c>
      <c r="D831" s="260">
        <v>1216.4100000000001</v>
      </c>
      <c r="E831" s="260">
        <v>537.11</v>
      </c>
      <c r="F831" s="260">
        <v>13.18</v>
      </c>
      <c r="G831" s="260">
        <v>666.12</v>
      </c>
      <c r="H831" s="261">
        <v>11523.76</v>
      </c>
      <c r="I831" s="261">
        <v>7009.47</v>
      </c>
      <c r="J831" s="261">
        <v>100.04</v>
      </c>
      <c r="K831" s="261">
        <v>4414.25</v>
      </c>
      <c r="L831" s="357">
        <v>9.473582098141252</v>
      </c>
      <c r="M831" s="357">
        <v>13.05</v>
      </c>
      <c r="N831" s="357">
        <v>7.5902883156297429</v>
      </c>
      <c r="O831" s="357">
        <v>6.6268089833663604</v>
      </c>
      <c r="P831" s="262"/>
      <c r="Q831" s="262"/>
      <c r="R831" s="262">
        <v>4</v>
      </c>
    </row>
    <row r="832" spans="1:18" ht="48">
      <c r="A832" s="258">
        <v>61.39</v>
      </c>
      <c r="B832" s="251" t="s">
        <v>1398</v>
      </c>
      <c r="C832" s="259" t="s">
        <v>1399</v>
      </c>
      <c r="D832" s="260">
        <v>3777.33</v>
      </c>
      <c r="E832" s="260">
        <v>2423.35</v>
      </c>
      <c r="F832" s="260">
        <v>26.36</v>
      </c>
      <c r="G832" s="260">
        <v>1327.62</v>
      </c>
      <c r="H832" s="261">
        <v>40625.03</v>
      </c>
      <c r="I832" s="261">
        <v>31625.759999999998</v>
      </c>
      <c r="J832" s="261">
        <v>200.09</v>
      </c>
      <c r="K832" s="261">
        <v>8799.18</v>
      </c>
      <c r="L832" s="357">
        <v>10.754959190751139</v>
      </c>
      <c r="M832" s="357">
        <v>13.05</v>
      </c>
      <c r="N832" s="357">
        <v>7.5906676783004556</v>
      </c>
      <c r="O832" s="357">
        <v>6.6277850589777199</v>
      </c>
      <c r="P832" s="262"/>
      <c r="Q832" s="262"/>
      <c r="R832" s="262">
        <v>4</v>
      </c>
    </row>
    <row r="833" spans="1:18" ht="48">
      <c r="A833" s="258">
        <v>61.4</v>
      </c>
      <c r="B833" s="251" t="s">
        <v>1400</v>
      </c>
      <c r="C833" s="259" t="s">
        <v>1401</v>
      </c>
      <c r="D833" s="260">
        <v>1098.5999999999999</v>
      </c>
      <c r="E833" s="260">
        <v>419.3</v>
      </c>
      <c r="F833" s="260">
        <v>13.18</v>
      </c>
      <c r="G833" s="260">
        <v>666.12</v>
      </c>
      <c r="H833" s="261">
        <v>9986.2900000000009</v>
      </c>
      <c r="I833" s="261">
        <v>5472</v>
      </c>
      <c r="J833" s="261">
        <v>100.04</v>
      </c>
      <c r="K833" s="261">
        <v>4414.25</v>
      </c>
      <c r="L833" s="357">
        <v>9.0900145639905343</v>
      </c>
      <c r="M833" s="357">
        <v>13.05</v>
      </c>
      <c r="N833" s="357">
        <v>7.5902883156297429</v>
      </c>
      <c r="O833" s="357">
        <v>6.6268089833663604</v>
      </c>
      <c r="P833" s="262"/>
      <c r="Q833" s="262"/>
      <c r="R833" s="262">
        <v>4</v>
      </c>
    </row>
    <row r="834" spans="1:18" ht="48">
      <c r="A834" s="258">
        <v>61.41</v>
      </c>
      <c r="B834" s="251" t="s">
        <v>1402</v>
      </c>
      <c r="C834" s="259" t="s">
        <v>1403</v>
      </c>
      <c r="D834" s="260">
        <v>3493.09</v>
      </c>
      <c r="E834" s="260">
        <v>2139.11</v>
      </c>
      <c r="F834" s="260">
        <v>26.36</v>
      </c>
      <c r="G834" s="260">
        <v>1327.62</v>
      </c>
      <c r="H834" s="261">
        <v>36915.53</v>
      </c>
      <c r="I834" s="261">
        <v>27916.26</v>
      </c>
      <c r="J834" s="261">
        <v>200.09</v>
      </c>
      <c r="K834" s="261">
        <v>8799.18</v>
      </c>
      <c r="L834" s="357">
        <v>10.568158850759643</v>
      </c>
      <c r="M834" s="357">
        <v>13.05</v>
      </c>
      <c r="N834" s="357">
        <v>7.5906676783004556</v>
      </c>
      <c r="O834" s="357">
        <v>6.6277850589777199</v>
      </c>
      <c r="P834" s="262"/>
      <c r="Q834" s="262"/>
      <c r="R834" s="262">
        <v>4</v>
      </c>
    </row>
    <row r="835" spans="1:18" ht="48">
      <c r="A835" s="263">
        <v>61.42</v>
      </c>
      <c r="B835" s="264" t="s">
        <v>1404</v>
      </c>
      <c r="C835" s="265" t="s">
        <v>1405</v>
      </c>
      <c r="D835" s="266">
        <v>1055.76</v>
      </c>
      <c r="E835" s="266">
        <v>376.46</v>
      </c>
      <c r="F835" s="266">
        <v>13.18</v>
      </c>
      <c r="G835" s="266">
        <v>666.12</v>
      </c>
      <c r="H835" s="267">
        <v>9427.2099999999991</v>
      </c>
      <c r="I835" s="267">
        <v>4912.92</v>
      </c>
      <c r="J835" s="267">
        <v>100.04</v>
      </c>
      <c r="K835" s="267">
        <v>4414.25</v>
      </c>
      <c r="L835" s="356">
        <v>8.9293115859665075</v>
      </c>
      <c r="M835" s="356">
        <v>13.05</v>
      </c>
      <c r="N835" s="356">
        <v>7.5902883156297429</v>
      </c>
      <c r="O835" s="356">
        <v>6.6268089833663604</v>
      </c>
      <c r="P835" s="268"/>
      <c r="Q835" s="268"/>
      <c r="R835" s="268">
        <v>4</v>
      </c>
    </row>
    <row r="836" spans="1:18" ht="12.75">
      <c r="A836" s="428" t="s">
        <v>1406</v>
      </c>
      <c r="B836" s="429"/>
      <c r="C836" s="429"/>
      <c r="D836" s="429"/>
      <c r="E836" s="429"/>
      <c r="F836" s="429"/>
      <c r="G836" s="429"/>
      <c r="H836" s="429"/>
      <c r="I836" s="429"/>
      <c r="J836" s="429"/>
      <c r="K836" s="429"/>
      <c r="L836" s="429"/>
      <c r="M836" s="429"/>
      <c r="N836" s="429"/>
      <c r="O836" s="429"/>
      <c r="P836" s="429"/>
      <c r="Q836" s="429"/>
      <c r="R836" s="429"/>
    </row>
    <row r="837" spans="1:18" ht="36">
      <c r="A837" s="258">
        <v>61.43</v>
      </c>
      <c r="B837" s="251" t="s">
        <v>1407</v>
      </c>
      <c r="C837" s="259" t="s">
        <v>1408</v>
      </c>
      <c r="D837" s="260">
        <v>5011.7700000000004</v>
      </c>
      <c r="E837" s="260">
        <v>2736.73</v>
      </c>
      <c r="F837" s="260">
        <v>26.36</v>
      </c>
      <c r="G837" s="260">
        <v>2248.6799999999998</v>
      </c>
      <c r="H837" s="261">
        <v>49728.62</v>
      </c>
      <c r="I837" s="261">
        <v>35715.43</v>
      </c>
      <c r="J837" s="261">
        <v>200.09</v>
      </c>
      <c r="K837" s="261">
        <v>13813.1</v>
      </c>
      <c r="L837" s="357">
        <v>9.9223667486736211</v>
      </c>
      <c r="M837" s="357">
        <v>13.05</v>
      </c>
      <c r="N837" s="357">
        <v>7.5906676783004556</v>
      </c>
      <c r="O837" s="357">
        <v>6.1427593076827298</v>
      </c>
      <c r="P837" s="262"/>
      <c r="Q837" s="262"/>
      <c r="R837" s="262">
        <v>5</v>
      </c>
    </row>
    <row r="838" spans="1:18" ht="48">
      <c r="A838" s="258">
        <v>61.44</v>
      </c>
      <c r="B838" s="251" t="s">
        <v>1409</v>
      </c>
      <c r="C838" s="259" t="s">
        <v>1410</v>
      </c>
      <c r="D838" s="260">
        <v>1134.6300000000001</v>
      </c>
      <c r="E838" s="260">
        <v>437.72</v>
      </c>
      <c r="F838" s="260">
        <v>13.18</v>
      </c>
      <c r="G838" s="260">
        <v>683.73</v>
      </c>
      <c r="H838" s="261">
        <v>9942.7800000000007</v>
      </c>
      <c r="I838" s="261">
        <v>5712.4</v>
      </c>
      <c r="J838" s="261">
        <v>100.04</v>
      </c>
      <c r="K838" s="261">
        <v>4130.34</v>
      </c>
      <c r="L838" s="357">
        <v>8.7630152560746666</v>
      </c>
      <c r="M838" s="357">
        <v>13.05</v>
      </c>
      <c r="N838" s="357">
        <v>7.5902883156297429</v>
      </c>
      <c r="O838" s="357">
        <v>6.0408933350884118</v>
      </c>
      <c r="P838" s="262"/>
      <c r="Q838" s="262"/>
      <c r="R838" s="262">
        <v>5</v>
      </c>
    </row>
    <row r="839" spans="1:18" ht="48">
      <c r="A839" s="258">
        <v>61.45</v>
      </c>
      <c r="B839" s="251" t="s">
        <v>1411</v>
      </c>
      <c r="C839" s="259" t="s">
        <v>1412</v>
      </c>
      <c r="D839" s="260">
        <v>4604.79</v>
      </c>
      <c r="E839" s="260">
        <v>2329.75</v>
      </c>
      <c r="F839" s="260">
        <v>26.36</v>
      </c>
      <c r="G839" s="260">
        <v>2248.6799999999998</v>
      </c>
      <c r="H839" s="261">
        <v>44417.36</v>
      </c>
      <c r="I839" s="261">
        <v>30404.17</v>
      </c>
      <c r="J839" s="261">
        <v>200.09</v>
      </c>
      <c r="K839" s="261">
        <v>13813.1</v>
      </c>
      <c r="L839" s="357">
        <v>9.6459035048286683</v>
      </c>
      <c r="M839" s="357">
        <v>13.05</v>
      </c>
      <c r="N839" s="357">
        <v>7.5906676783004556</v>
      </c>
      <c r="O839" s="357">
        <v>6.1427593076827298</v>
      </c>
      <c r="P839" s="262"/>
      <c r="Q839" s="262"/>
      <c r="R839" s="262">
        <v>5</v>
      </c>
    </row>
    <row r="840" spans="1:18" ht="48">
      <c r="A840" s="258">
        <v>61.46</v>
      </c>
      <c r="B840" s="251" t="s">
        <v>1413</v>
      </c>
      <c r="C840" s="259" t="s">
        <v>1414</v>
      </c>
      <c r="D840" s="260">
        <v>1070.3699999999999</v>
      </c>
      <c r="E840" s="260">
        <v>373.46</v>
      </c>
      <c r="F840" s="260">
        <v>13.18</v>
      </c>
      <c r="G840" s="260">
        <v>683.73</v>
      </c>
      <c r="H840" s="261">
        <v>9104.16</v>
      </c>
      <c r="I840" s="261">
        <v>4873.78</v>
      </c>
      <c r="J840" s="261">
        <v>100.04</v>
      </c>
      <c r="K840" s="261">
        <v>4130.34</v>
      </c>
      <c r="L840" s="357">
        <v>8.5056195521174924</v>
      </c>
      <c r="M840" s="357">
        <v>13.05</v>
      </c>
      <c r="N840" s="357">
        <v>7.5902883156297429</v>
      </c>
      <c r="O840" s="357">
        <v>6.0408933350884118</v>
      </c>
      <c r="P840" s="262"/>
      <c r="Q840" s="262"/>
      <c r="R840" s="262">
        <v>5</v>
      </c>
    </row>
    <row r="841" spans="1:18" ht="48">
      <c r="A841" s="258">
        <v>61.47</v>
      </c>
      <c r="B841" s="251" t="s">
        <v>1415</v>
      </c>
      <c r="C841" s="259" t="s">
        <v>1416</v>
      </c>
      <c r="D841" s="260">
        <v>4331.1499999999996</v>
      </c>
      <c r="E841" s="260">
        <v>2056.11</v>
      </c>
      <c r="F841" s="260">
        <v>26.36</v>
      </c>
      <c r="G841" s="260">
        <v>2248.6799999999998</v>
      </c>
      <c r="H841" s="261">
        <v>40846.230000000003</v>
      </c>
      <c r="I841" s="261">
        <v>26833.040000000001</v>
      </c>
      <c r="J841" s="261">
        <v>200.09</v>
      </c>
      <c r="K841" s="261">
        <v>13813.1</v>
      </c>
      <c r="L841" s="357">
        <v>9.4308047516248585</v>
      </c>
      <c r="M841" s="357">
        <v>13.05</v>
      </c>
      <c r="N841" s="357">
        <v>7.5906676783004556</v>
      </c>
      <c r="O841" s="357">
        <v>6.1427593076827298</v>
      </c>
      <c r="P841" s="262"/>
      <c r="Q841" s="262"/>
      <c r="R841" s="262">
        <v>5</v>
      </c>
    </row>
    <row r="842" spans="1:18" ht="48">
      <c r="A842" s="263">
        <v>61.48</v>
      </c>
      <c r="B842" s="264" t="s">
        <v>1417</v>
      </c>
      <c r="C842" s="265" t="s">
        <v>1418</v>
      </c>
      <c r="D842" s="266">
        <v>1038.24</v>
      </c>
      <c r="E842" s="266">
        <v>341.33</v>
      </c>
      <c r="F842" s="266">
        <v>13.18</v>
      </c>
      <c r="G842" s="266">
        <v>683.73</v>
      </c>
      <c r="H842" s="267">
        <v>8684.85</v>
      </c>
      <c r="I842" s="267">
        <v>4454.47</v>
      </c>
      <c r="J842" s="267">
        <v>100.04</v>
      </c>
      <c r="K842" s="267">
        <v>4130.34</v>
      </c>
      <c r="L842" s="356">
        <v>8.3649734165510861</v>
      </c>
      <c r="M842" s="356">
        <v>13.05</v>
      </c>
      <c r="N842" s="356">
        <v>7.5902883156297429</v>
      </c>
      <c r="O842" s="356">
        <v>6.0408933350884118</v>
      </c>
      <c r="P842" s="268"/>
      <c r="Q842" s="268"/>
      <c r="R842" s="268">
        <v>5</v>
      </c>
    </row>
    <row r="843" spans="1:18" ht="12.75">
      <c r="A843" s="428" t="s">
        <v>1419</v>
      </c>
      <c r="B843" s="429"/>
      <c r="C843" s="429"/>
      <c r="D843" s="429"/>
      <c r="E843" s="429"/>
      <c r="F843" s="429"/>
      <c r="G843" s="429"/>
      <c r="H843" s="429"/>
      <c r="I843" s="429"/>
      <c r="J843" s="429"/>
      <c r="K843" s="429"/>
      <c r="L843" s="429"/>
      <c r="M843" s="429"/>
      <c r="N843" s="429"/>
      <c r="O843" s="429"/>
      <c r="P843" s="429"/>
      <c r="Q843" s="429"/>
      <c r="R843" s="429"/>
    </row>
    <row r="844" spans="1:18" ht="36">
      <c r="A844" s="258">
        <v>61.49</v>
      </c>
      <c r="B844" s="251" t="s">
        <v>1420</v>
      </c>
      <c r="C844" s="259" t="s">
        <v>1421</v>
      </c>
      <c r="D844" s="260">
        <v>4369.99</v>
      </c>
      <c r="E844" s="260">
        <v>3098.92</v>
      </c>
      <c r="F844" s="260">
        <v>24.89</v>
      </c>
      <c r="G844" s="260">
        <v>1246.18</v>
      </c>
      <c r="H844" s="261">
        <v>47938.33</v>
      </c>
      <c r="I844" s="261">
        <v>40441.269999999997</v>
      </c>
      <c r="J844" s="261">
        <v>188.97</v>
      </c>
      <c r="K844" s="261">
        <v>7308.09</v>
      </c>
      <c r="L844" s="357">
        <v>10.969894667951186</v>
      </c>
      <c r="M844" s="357">
        <v>13.05</v>
      </c>
      <c r="N844" s="357">
        <v>7.592205705102451</v>
      </c>
      <c r="O844" s="357">
        <v>5.8643935868012642</v>
      </c>
      <c r="P844" s="262"/>
      <c r="Q844" s="262"/>
      <c r="R844" s="262">
        <v>6</v>
      </c>
    </row>
    <row r="845" spans="1:18" ht="48">
      <c r="A845" s="258">
        <v>61.5</v>
      </c>
      <c r="B845" s="251" t="s">
        <v>1422</v>
      </c>
      <c r="C845" s="259" t="s">
        <v>1423</v>
      </c>
      <c r="D845" s="260">
        <v>1159.8800000000001</v>
      </c>
      <c r="E845" s="260">
        <v>524.91</v>
      </c>
      <c r="F845" s="260">
        <v>12.45</v>
      </c>
      <c r="G845" s="260">
        <v>622.52</v>
      </c>
      <c r="H845" s="261">
        <v>10594.38</v>
      </c>
      <c r="I845" s="261">
        <v>6850.21</v>
      </c>
      <c r="J845" s="261">
        <v>94.49</v>
      </c>
      <c r="K845" s="261">
        <v>3649.68</v>
      </c>
      <c r="L845" s="357">
        <v>9.134031106666205</v>
      </c>
      <c r="M845" s="357">
        <v>13.05</v>
      </c>
      <c r="N845" s="357">
        <v>7.5895582329317266</v>
      </c>
      <c r="O845" s="357">
        <v>5.8627513975454599</v>
      </c>
      <c r="P845" s="262"/>
      <c r="Q845" s="262"/>
      <c r="R845" s="262">
        <v>6</v>
      </c>
    </row>
    <row r="846" spans="1:18" ht="36">
      <c r="A846" s="258">
        <v>61.51</v>
      </c>
      <c r="B846" s="251" t="s">
        <v>1424</v>
      </c>
      <c r="C846" s="259" t="s">
        <v>1425</v>
      </c>
      <c r="D846" s="260">
        <v>4780.88</v>
      </c>
      <c r="E846" s="260">
        <v>3491.53</v>
      </c>
      <c r="F846" s="260">
        <v>24.89</v>
      </c>
      <c r="G846" s="260">
        <v>1264.46</v>
      </c>
      <c r="H846" s="261">
        <v>54134.52</v>
      </c>
      <c r="I846" s="261">
        <v>45564.959999999999</v>
      </c>
      <c r="J846" s="261">
        <v>188.97</v>
      </c>
      <c r="K846" s="261">
        <v>8380.59</v>
      </c>
      <c r="L846" s="357">
        <v>11.323128796372215</v>
      </c>
      <c r="M846" s="357">
        <v>13.05</v>
      </c>
      <c r="N846" s="357">
        <v>7.592205705102451</v>
      </c>
      <c r="O846" s="357">
        <v>6.6278015911930783</v>
      </c>
      <c r="P846" s="262"/>
      <c r="Q846" s="262"/>
      <c r="R846" s="262">
        <v>6</v>
      </c>
    </row>
    <row r="847" spans="1:18" ht="48">
      <c r="A847" s="258">
        <v>61.52</v>
      </c>
      <c r="B847" s="251" t="s">
        <v>1426</v>
      </c>
      <c r="C847" s="259" t="s">
        <v>1427</v>
      </c>
      <c r="D847" s="260">
        <v>1264.46</v>
      </c>
      <c r="E847" s="260">
        <v>620.35</v>
      </c>
      <c r="F847" s="260">
        <v>12.45</v>
      </c>
      <c r="G847" s="260">
        <v>631.66</v>
      </c>
      <c r="H847" s="261">
        <v>12376.12</v>
      </c>
      <c r="I847" s="261">
        <v>8095.7</v>
      </c>
      <c r="J847" s="261">
        <v>94.49</v>
      </c>
      <c r="K847" s="261">
        <v>4185.93</v>
      </c>
      <c r="L847" s="357">
        <v>9.7876722078990248</v>
      </c>
      <c r="M847" s="357">
        <v>13.05</v>
      </c>
      <c r="N847" s="357">
        <v>7.5895582329317266</v>
      </c>
      <c r="O847" s="357">
        <v>6.6268720514200687</v>
      </c>
      <c r="P847" s="262"/>
      <c r="Q847" s="262"/>
      <c r="R847" s="262">
        <v>6</v>
      </c>
    </row>
    <row r="848" spans="1:18" ht="36">
      <c r="A848" s="258">
        <v>61.53</v>
      </c>
      <c r="B848" s="251" t="s">
        <v>1428</v>
      </c>
      <c r="C848" s="259" t="s">
        <v>1429</v>
      </c>
      <c r="D848" s="260">
        <v>5651.96</v>
      </c>
      <c r="E848" s="260">
        <v>3468.06</v>
      </c>
      <c r="F848" s="260">
        <v>28.56</v>
      </c>
      <c r="G848" s="260">
        <v>2155.34</v>
      </c>
      <c r="H848" s="261">
        <v>58718.58</v>
      </c>
      <c r="I848" s="261">
        <v>45258.6</v>
      </c>
      <c r="J848" s="261">
        <v>216.76</v>
      </c>
      <c r="K848" s="261">
        <v>13243.22</v>
      </c>
      <c r="L848" s="357">
        <v>10.389065032307377</v>
      </c>
      <c r="M848" s="357">
        <v>13.05</v>
      </c>
      <c r="N848" s="357">
        <v>7.5896358543417364</v>
      </c>
      <c r="O848" s="357">
        <v>6.1443762932994321</v>
      </c>
      <c r="P848" s="262"/>
      <c r="Q848" s="262"/>
      <c r="R848" s="262">
        <v>6</v>
      </c>
    </row>
    <row r="849" spans="1:18" ht="48">
      <c r="A849" s="263">
        <v>61.54</v>
      </c>
      <c r="B849" s="264" t="s">
        <v>1430</v>
      </c>
      <c r="C849" s="265" t="s">
        <v>1431</v>
      </c>
      <c r="D849" s="266">
        <v>1192.27</v>
      </c>
      <c r="E849" s="266">
        <v>524.91</v>
      </c>
      <c r="F849" s="266">
        <v>14.28</v>
      </c>
      <c r="G849" s="266">
        <v>653.08000000000004</v>
      </c>
      <c r="H849" s="267">
        <v>10904.54</v>
      </c>
      <c r="I849" s="267">
        <v>6850.21</v>
      </c>
      <c r="J849" s="267">
        <v>108.38</v>
      </c>
      <c r="K849" s="267">
        <v>3945.95</v>
      </c>
      <c r="L849" s="356">
        <v>9.1460323584422998</v>
      </c>
      <c r="M849" s="356">
        <v>13.05</v>
      </c>
      <c r="N849" s="356">
        <v>7.5896358543417364</v>
      </c>
      <c r="O849" s="356">
        <v>6.0420622282109386</v>
      </c>
      <c r="P849" s="268"/>
      <c r="Q849" s="268"/>
      <c r="R849" s="268">
        <v>6</v>
      </c>
    </row>
    <row r="850" spans="1:18" ht="12.75">
      <c r="A850" s="428" t="s">
        <v>1432</v>
      </c>
      <c r="B850" s="429"/>
      <c r="C850" s="429"/>
      <c r="D850" s="429"/>
      <c r="E850" s="429"/>
      <c r="F850" s="429"/>
      <c r="G850" s="429"/>
      <c r="H850" s="429"/>
      <c r="I850" s="429"/>
      <c r="J850" s="429"/>
      <c r="K850" s="429"/>
      <c r="L850" s="429"/>
      <c r="M850" s="429"/>
      <c r="N850" s="429"/>
      <c r="O850" s="429"/>
      <c r="P850" s="429"/>
      <c r="Q850" s="429"/>
      <c r="R850" s="429"/>
    </row>
    <row r="851" spans="1:18" ht="36">
      <c r="A851" s="258">
        <v>61.55</v>
      </c>
      <c r="B851" s="251" t="s">
        <v>1433</v>
      </c>
      <c r="C851" s="259" t="s">
        <v>1434</v>
      </c>
      <c r="D851" s="260">
        <v>6672.83</v>
      </c>
      <c r="E851" s="260">
        <v>4102.57</v>
      </c>
      <c r="F851" s="260">
        <v>42.47</v>
      </c>
      <c r="G851" s="260">
        <v>2527.79</v>
      </c>
      <c r="H851" s="261">
        <v>70615.11</v>
      </c>
      <c r="I851" s="261">
        <v>53540.3</v>
      </c>
      <c r="J851" s="261">
        <v>322.36</v>
      </c>
      <c r="K851" s="261">
        <v>16752.45</v>
      </c>
      <c r="L851" s="357">
        <v>10.582482994471611</v>
      </c>
      <c r="M851" s="357">
        <v>13.05</v>
      </c>
      <c r="N851" s="357">
        <v>7.5902990346126682</v>
      </c>
      <c r="O851" s="357">
        <v>6.627310813002663</v>
      </c>
      <c r="P851" s="262"/>
      <c r="Q851" s="262"/>
      <c r="R851" s="262">
        <v>7</v>
      </c>
    </row>
    <row r="852" spans="1:18" ht="36">
      <c r="A852" s="258">
        <v>61.56</v>
      </c>
      <c r="B852" s="251" t="s">
        <v>1435</v>
      </c>
      <c r="C852" s="259" t="s">
        <v>1436</v>
      </c>
      <c r="D852" s="260">
        <v>7301.51</v>
      </c>
      <c r="E852" s="260">
        <v>4731.25</v>
      </c>
      <c r="F852" s="260">
        <v>42.47</v>
      </c>
      <c r="G852" s="260">
        <v>2527.79</v>
      </c>
      <c r="H852" s="261">
        <v>78818.289999999994</v>
      </c>
      <c r="I852" s="261">
        <v>61743.48</v>
      </c>
      <c r="J852" s="261">
        <v>322.36</v>
      </c>
      <c r="K852" s="261">
        <v>16752.45</v>
      </c>
      <c r="L852" s="357">
        <v>10.794793131831634</v>
      </c>
      <c r="M852" s="357">
        <v>13.05</v>
      </c>
      <c r="N852" s="357">
        <v>7.5902990346126682</v>
      </c>
      <c r="O852" s="357">
        <v>6.627310813002663</v>
      </c>
      <c r="P852" s="262"/>
      <c r="Q852" s="262"/>
      <c r="R852" s="262">
        <v>7</v>
      </c>
    </row>
    <row r="853" spans="1:18" ht="36">
      <c r="A853" s="258">
        <v>61.57</v>
      </c>
      <c r="B853" s="251" t="s">
        <v>1437</v>
      </c>
      <c r="C853" s="259" t="s">
        <v>1438</v>
      </c>
      <c r="D853" s="260">
        <v>6611.96</v>
      </c>
      <c r="E853" s="260">
        <v>3742.61</v>
      </c>
      <c r="F853" s="260">
        <v>42.47</v>
      </c>
      <c r="G853" s="260">
        <v>2826.88</v>
      </c>
      <c r="H853" s="261">
        <v>66340.710000000006</v>
      </c>
      <c r="I853" s="261">
        <v>48842.63</v>
      </c>
      <c r="J853" s="261">
        <v>322.36</v>
      </c>
      <c r="K853" s="261">
        <v>17175.72</v>
      </c>
      <c r="L853" s="357">
        <v>10.033440916157993</v>
      </c>
      <c r="M853" s="357">
        <v>13.05</v>
      </c>
      <c r="N853" s="357">
        <v>7.5902990346126682</v>
      </c>
      <c r="O853" s="357">
        <v>6.0758574824541549</v>
      </c>
      <c r="P853" s="262"/>
      <c r="Q853" s="262"/>
      <c r="R853" s="262">
        <v>7</v>
      </c>
    </row>
    <row r="854" spans="1:18" ht="36">
      <c r="A854" s="263">
        <v>61.58</v>
      </c>
      <c r="B854" s="264" t="s">
        <v>1439</v>
      </c>
      <c r="C854" s="265" t="s">
        <v>1440</v>
      </c>
      <c r="D854" s="266">
        <v>7185.5</v>
      </c>
      <c r="E854" s="266">
        <v>4316.1499999999996</v>
      </c>
      <c r="F854" s="266">
        <v>42.47</v>
      </c>
      <c r="G854" s="266">
        <v>2826.88</v>
      </c>
      <c r="H854" s="267">
        <v>73824.38</v>
      </c>
      <c r="I854" s="267">
        <v>56326.3</v>
      </c>
      <c r="J854" s="267">
        <v>322.36</v>
      </c>
      <c r="K854" s="267">
        <v>17175.72</v>
      </c>
      <c r="L854" s="356">
        <v>10.274076960545544</v>
      </c>
      <c r="M854" s="356">
        <v>13.05</v>
      </c>
      <c r="N854" s="356">
        <v>7.5902990346126682</v>
      </c>
      <c r="O854" s="356">
        <v>6.0758574824541549</v>
      </c>
      <c r="P854" s="268"/>
      <c r="Q854" s="268"/>
      <c r="R854" s="268">
        <v>7</v>
      </c>
    </row>
    <row r="855" spans="1:18" ht="12.75">
      <c r="A855" s="428" t="s">
        <v>1441</v>
      </c>
      <c r="B855" s="429"/>
      <c r="C855" s="429"/>
      <c r="D855" s="429"/>
      <c r="E855" s="429"/>
      <c r="F855" s="429"/>
      <c r="G855" s="429"/>
      <c r="H855" s="429"/>
      <c r="I855" s="429"/>
      <c r="J855" s="429"/>
      <c r="K855" s="429"/>
      <c r="L855" s="429"/>
      <c r="M855" s="429"/>
      <c r="N855" s="429"/>
      <c r="O855" s="429"/>
      <c r="P855" s="429"/>
      <c r="Q855" s="429"/>
      <c r="R855" s="429"/>
    </row>
    <row r="856" spans="1:18" ht="36">
      <c r="A856" s="258">
        <v>61.59</v>
      </c>
      <c r="B856" s="251" t="s">
        <v>1442</v>
      </c>
      <c r="C856" s="259" t="s">
        <v>1443</v>
      </c>
      <c r="D856" s="260">
        <v>9799.85</v>
      </c>
      <c r="E856" s="260">
        <v>6180.41</v>
      </c>
      <c r="F856" s="260">
        <v>59.31</v>
      </c>
      <c r="G856" s="260">
        <v>3560.13</v>
      </c>
      <c r="H856" s="261">
        <v>104626.84</v>
      </c>
      <c r="I856" s="261">
        <v>80654.97</v>
      </c>
      <c r="J856" s="261">
        <v>450.2</v>
      </c>
      <c r="K856" s="261">
        <v>23521.67</v>
      </c>
      <c r="L856" s="357">
        <v>10.676371577115976</v>
      </c>
      <c r="M856" s="357">
        <v>13.05</v>
      </c>
      <c r="N856" s="357">
        <v>7.5906255268925982</v>
      </c>
      <c r="O856" s="357">
        <v>6.6069694084204782</v>
      </c>
      <c r="P856" s="262"/>
      <c r="Q856" s="262"/>
      <c r="R856" s="262">
        <v>8</v>
      </c>
    </row>
    <row r="857" spans="1:18" ht="36">
      <c r="A857" s="258">
        <v>61.6</v>
      </c>
      <c r="B857" s="251" t="s">
        <v>1444</v>
      </c>
      <c r="C857" s="259" t="s">
        <v>1445</v>
      </c>
      <c r="D857" s="260">
        <v>9051.85</v>
      </c>
      <c r="E857" s="260">
        <v>5432.41</v>
      </c>
      <c r="F857" s="260">
        <v>59.31</v>
      </c>
      <c r="G857" s="260">
        <v>3560.13</v>
      </c>
      <c r="H857" s="261">
        <v>94865.29</v>
      </c>
      <c r="I857" s="261">
        <v>70893.42</v>
      </c>
      <c r="J857" s="261">
        <v>450.2</v>
      </c>
      <c r="K857" s="261">
        <v>23521.67</v>
      </c>
      <c r="L857" s="357">
        <v>10.480210122792577</v>
      </c>
      <c r="M857" s="357">
        <v>13.05</v>
      </c>
      <c r="N857" s="357">
        <v>7.5906255268925982</v>
      </c>
      <c r="O857" s="357">
        <v>6.6069694084204782</v>
      </c>
      <c r="P857" s="262"/>
      <c r="Q857" s="262"/>
      <c r="R857" s="262">
        <v>8</v>
      </c>
    </row>
    <row r="858" spans="1:18" ht="36">
      <c r="A858" s="258">
        <v>61.61</v>
      </c>
      <c r="B858" s="251" t="s">
        <v>1446</v>
      </c>
      <c r="C858" s="259" t="s">
        <v>1447</v>
      </c>
      <c r="D858" s="260">
        <v>11285.34</v>
      </c>
      <c r="E858" s="260">
        <v>7665.9</v>
      </c>
      <c r="F858" s="260">
        <v>59.31</v>
      </c>
      <c r="G858" s="260">
        <v>3560.13</v>
      </c>
      <c r="H858" s="261">
        <v>124015.03999999999</v>
      </c>
      <c r="I858" s="261">
        <v>100043.17</v>
      </c>
      <c r="J858" s="261">
        <v>450.2</v>
      </c>
      <c r="K858" s="261">
        <v>23521.67</v>
      </c>
      <c r="L858" s="357">
        <v>10.989038876985539</v>
      </c>
      <c r="M858" s="357">
        <v>13.05</v>
      </c>
      <c r="N858" s="357">
        <v>7.5906255268925982</v>
      </c>
      <c r="O858" s="357">
        <v>6.6069694084204782</v>
      </c>
      <c r="P858" s="262"/>
      <c r="Q858" s="262"/>
      <c r="R858" s="262">
        <v>8</v>
      </c>
    </row>
    <row r="859" spans="1:18" ht="36">
      <c r="A859" s="258">
        <v>61.62</v>
      </c>
      <c r="B859" s="251" t="s">
        <v>1448</v>
      </c>
      <c r="C859" s="259" t="s">
        <v>1449</v>
      </c>
      <c r="D859" s="260">
        <v>10354</v>
      </c>
      <c r="E859" s="260">
        <v>6734.56</v>
      </c>
      <c r="F859" s="260">
        <v>59.31</v>
      </c>
      <c r="G859" s="260">
        <v>3560.13</v>
      </c>
      <c r="H859" s="261">
        <v>111860.64</v>
      </c>
      <c r="I859" s="261">
        <v>87888.77</v>
      </c>
      <c r="J859" s="261">
        <v>450.2</v>
      </c>
      <c r="K859" s="261">
        <v>23521.67</v>
      </c>
      <c r="L859" s="357">
        <v>10.803615993818815</v>
      </c>
      <c r="M859" s="357">
        <v>13.05</v>
      </c>
      <c r="N859" s="357">
        <v>7.5906255268925982</v>
      </c>
      <c r="O859" s="357">
        <v>6.6069694084204782</v>
      </c>
      <c r="P859" s="262"/>
      <c r="Q859" s="262"/>
      <c r="R859" s="262">
        <v>8</v>
      </c>
    </row>
    <row r="860" spans="1:18" ht="36">
      <c r="A860" s="258">
        <v>61.63</v>
      </c>
      <c r="B860" s="251" t="s">
        <v>1450</v>
      </c>
      <c r="C860" s="259" t="s">
        <v>1451</v>
      </c>
      <c r="D860" s="260">
        <v>9474.86</v>
      </c>
      <c r="E860" s="260">
        <v>4985.83</v>
      </c>
      <c r="F860" s="260">
        <v>59.31</v>
      </c>
      <c r="G860" s="260">
        <v>4429.72</v>
      </c>
      <c r="H860" s="261">
        <v>92762.19</v>
      </c>
      <c r="I860" s="261">
        <v>65065.49</v>
      </c>
      <c r="J860" s="261">
        <v>450.2</v>
      </c>
      <c r="K860" s="261">
        <v>27246.5</v>
      </c>
      <c r="L860" s="357">
        <v>9.7903494088567005</v>
      </c>
      <c r="M860" s="357">
        <v>13.05</v>
      </c>
      <c r="N860" s="357">
        <v>7.5906255268925982</v>
      </c>
      <c r="O860" s="357">
        <v>6.1508402336942289</v>
      </c>
      <c r="P860" s="262"/>
      <c r="Q860" s="262"/>
      <c r="R860" s="262">
        <v>8</v>
      </c>
    </row>
    <row r="861" spans="1:18" ht="36">
      <c r="A861" s="258">
        <v>61.64</v>
      </c>
      <c r="B861" s="251" t="s">
        <v>1452</v>
      </c>
      <c r="C861" s="259" t="s">
        <v>1453</v>
      </c>
      <c r="D861" s="260">
        <v>8876.66</v>
      </c>
      <c r="E861" s="260">
        <v>4387.63</v>
      </c>
      <c r="F861" s="260">
        <v>59.31</v>
      </c>
      <c r="G861" s="260">
        <v>4429.72</v>
      </c>
      <c r="H861" s="261">
        <v>84955.71</v>
      </c>
      <c r="I861" s="261">
        <v>57259.01</v>
      </c>
      <c r="J861" s="261">
        <v>450.2</v>
      </c>
      <c r="K861" s="261">
        <v>27246.5</v>
      </c>
      <c r="L861" s="357">
        <v>9.5706842438484756</v>
      </c>
      <c r="M861" s="357">
        <v>13.05</v>
      </c>
      <c r="N861" s="357">
        <v>7.5906255268925982</v>
      </c>
      <c r="O861" s="357">
        <v>6.1508402336942289</v>
      </c>
      <c r="P861" s="262"/>
      <c r="Q861" s="262"/>
      <c r="R861" s="262">
        <v>8</v>
      </c>
    </row>
    <row r="862" spans="1:18" ht="36">
      <c r="A862" s="258">
        <v>61.65</v>
      </c>
      <c r="B862" s="251" t="s">
        <v>1454</v>
      </c>
      <c r="C862" s="259" t="s">
        <v>1455</v>
      </c>
      <c r="D862" s="260">
        <v>10669.99</v>
      </c>
      <c r="E862" s="260">
        <v>6180.96</v>
      </c>
      <c r="F862" s="260">
        <v>59.31</v>
      </c>
      <c r="G862" s="260">
        <v>4429.72</v>
      </c>
      <c r="H862" s="261">
        <v>108360.76</v>
      </c>
      <c r="I862" s="261">
        <v>80664.06</v>
      </c>
      <c r="J862" s="261">
        <v>450.2</v>
      </c>
      <c r="K862" s="261">
        <v>27246.5</v>
      </c>
      <c r="L862" s="357">
        <v>10.155657128076033</v>
      </c>
      <c r="M862" s="357">
        <v>13.05</v>
      </c>
      <c r="N862" s="357">
        <v>7.5906255268925982</v>
      </c>
      <c r="O862" s="357">
        <v>6.1508402336942289</v>
      </c>
      <c r="P862" s="262"/>
      <c r="Q862" s="262"/>
      <c r="R862" s="262">
        <v>8</v>
      </c>
    </row>
    <row r="863" spans="1:18" ht="36">
      <c r="A863" s="263">
        <v>61.66</v>
      </c>
      <c r="B863" s="264" t="s">
        <v>1456</v>
      </c>
      <c r="C863" s="265" t="s">
        <v>1457</v>
      </c>
      <c r="D863" s="266">
        <v>9874.5499999999993</v>
      </c>
      <c r="E863" s="266">
        <v>5385.52</v>
      </c>
      <c r="F863" s="266">
        <v>59.31</v>
      </c>
      <c r="G863" s="266">
        <v>4429.72</v>
      </c>
      <c r="H863" s="267">
        <v>97980.04</v>
      </c>
      <c r="I863" s="267">
        <v>70283.34</v>
      </c>
      <c r="J863" s="267">
        <v>450.2</v>
      </c>
      <c r="K863" s="267">
        <v>27246.5</v>
      </c>
      <c r="L863" s="356">
        <v>9.9224815308039354</v>
      </c>
      <c r="M863" s="356">
        <v>13.05</v>
      </c>
      <c r="N863" s="356">
        <v>7.5906255268925982</v>
      </c>
      <c r="O863" s="356">
        <v>6.1508402336942289</v>
      </c>
      <c r="P863" s="268"/>
      <c r="Q863" s="268"/>
      <c r="R863" s="268">
        <v>8</v>
      </c>
    </row>
    <row r="864" spans="1:18" ht="12.75">
      <c r="A864" s="428" t="s">
        <v>1458</v>
      </c>
      <c r="B864" s="429"/>
      <c r="C864" s="429"/>
      <c r="D864" s="429"/>
      <c r="E864" s="429"/>
      <c r="F864" s="429"/>
      <c r="G864" s="429"/>
      <c r="H864" s="429"/>
      <c r="I864" s="429"/>
      <c r="J864" s="429"/>
      <c r="K864" s="429"/>
      <c r="L864" s="429"/>
      <c r="M864" s="429"/>
      <c r="N864" s="429"/>
      <c r="O864" s="429"/>
      <c r="P864" s="429"/>
      <c r="Q864" s="429"/>
      <c r="R864" s="429"/>
    </row>
    <row r="865" spans="1:18" ht="24">
      <c r="A865" s="263">
        <v>61.67</v>
      </c>
      <c r="B865" s="264" t="s">
        <v>1459</v>
      </c>
      <c r="C865" s="265" t="s">
        <v>1460</v>
      </c>
      <c r="D865" s="266">
        <v>5745.91</v>
      </c>
      <c r="E865" s="266">
        <v>3490.39</v>
      </c>
      <c r="F865" s="266">
        <v>43.57</v>
      </c>
      <c r="G865" s="266">
        <v>2211.9499999999998</v>
      </c>
      <c r="H865" s="267">
        <v>60541.22</v>
      </c>
      <c r="I865" s="267">
        <v>45551.040000000001</v>
      </c>
      <c r="J865" s="267">
        <v>330.7</v>
      </c>
      <c r="K865" s="267">
        <v>14659.48</v>
      </c>
      <c r="L865" s="356">
        <v>10.536402414935147</v>
      </c>
      <c r="M865" s="356">
        <v>13.05</v>
      </c>
      <c r="N865" s="356">
        <v>7.590084920817076</v>
      </c>
      <c r="O865" s="356">
        <v>6.6274011618707478</v>
      </c>
      <c r="P865" s="268"/>
      <c r="Q865" s="268"/>
      <c r="R865" s="268">
        <v>9</v>
      </c>
    </row>
    <row r="866" spans="1:18" ht="12.75">
      <c r="A866" s="428" t="s">
        <v>1461</v>
      </c>
      <c r="B866" s="429"/>
      <c r="C866" s="429"/>
      <c r="D866" s="429"/>
      <c r="E866" s="429"/>
      <c r="F866" s="429"/>
      <c r="G866" s="429"/>
      <c r="H866" s="429"/>
      <c r="I866" s="429"/>
      <c r="J866" s="429"/>
      <c r="K866" s="429"/>
      <c r="L866" s="429"/>
      <c r="M866" s="429"/>
      <c r="N866" s="429"/>
      <c r="O866" s="429"/>
      <c r="P866" s="429"/>
      <c r="Q866" s="429"/>
      <c r="R866" s="429"/>
    </row>
    <row r="867" spans="1:18" ht="48">
      <c r="A867" s="258">
        <v>61.68</v>
      </c>
      <c r="B867" s="251" t="s">
        <v>1462</v>
      </c>
      <c r="C867" s="259" t="s">
        <v>1463</v>
      </c>
      <c r="D867" s="260">
        <v>3375.08</v>
      </c>
      <c r="E867" s="260">
        <v>2109.23</v>
      </c>
      <c r="F867" s="260">
        <v>1.39</v>
      </c>
      <c r="G867" s="260">
        <v>1264.46</v>
      </c>
      <c r="H867" s="261">
        <v>35911.01</v>
      </c>
      <c r="I867" s="261">
        <v>27524.92</v>
      </c>
      <c r="J867" s="261">
        <v>5.5</v>
      </c>
      <c r="K867" s="261">
        <v>8380.59</v>
      </c>
      <c r="L867" s="357">
        <v>10.640047050736577</v>
      </c>
      <c r="M867" s="357">
        <v>13.05</v>
      </c>
      <c r="N867" s="357">
        <v>3.956834532374101</v>
      </c>
      <c r="O867" s="357">
        <v>6.6278015911930783</v>
      </c>
      <c r="P867" s="262"/>
      <c r="Q867" s="262"/>
      <c r="R867" s="262">
        <v>10</v>
      </c>
    </row>
    <row r="868" spans="1:18" ht="36">
      <c r="A868" s="258">
        <v>61.69</v>
      </c>
      <c r="B868" s="251" t="s">
        <v>1464</v>
      </c>
      <c r="C868" s="259" t="s">
        <v>1465</v>
      </c>
      <c r="D868" s="260">
        <v>1010.45</v>
      </c>
      <c r="E868" s="260">
        <v>378.08</v>
      </c>
      <c r="F868" s="260">
        <v>0.71</v>
      </c>
      <c r="G868" s="260">
        <v>631.66</v>
      </c>
      <c r="H868" s="261">
        <v>9122.59</v>
      </c>
      <c r="I868" s="261">
        <v>4933.87</v>
      </c>
      <c r="J868" s="261">
        <v>2.79</v>
      </c>
      <c r="K868" s="261">
        <v>4185.93</v>
      </c>
      <c r="L868" s="357">
        <v>9.0282448414072931</v>
      </c>
      <c r="M868" s="357">
        <v>13.05</v>
      </c>
      <c r="N868" s="357">
        <v>3.9295774647887325</v>
      </c>
      <c r="O868" s="357">
        <v>6.6268720514200687</v>
      </c>
      <c r="P868" s="262"/>
      <c r="Q868" s="262"/>
      <c r="R868" s="262">
        <v>10</v>
      </c>
    </row>
    <row r="869" spans="1:18" ht="48">
      <c r="A869" s="258">
        <v>61.7</v>
      </c>
      <c r="B869" s="251" t="s">
        <v>1466</v>
      </c>
      <c r="C869" s="259" t="s">
        <v>1467</v>
      </c>
      <c r="D869" s="260">
        <v>3233.06</v>
      </c>
      <c r="E869" s="260">
        <v>1967.21</v>
      </c>
      <c r="F869" s="260">
        <v>1.39</v>
      </c>
      <c r="G869" s="260">
        <v>1264.46</v>
      </c>
      <c r="H869" s="261">
        <v>34057.74</v>
      </c>
      <c r="I869" s="261">
        <v>25671.65</v>
      </c>
      <c r="J869" s="261">
        <v>5.5</v>
      </c>
      <c r="K869" s="261">
        <v>8380.59</v>
      </c>
      <c r="L869" s="357">
        <v>10.534212170513383</v>
      </c>
      <c r="M869" s="357">
        <v>13.05</v>
      </c>
      <c r="N869" s="357">
        <v>3.956834532374101</v>
      </c>
      <c r="O869" s="357">
        <v>6.6278015911930783</v>
      </c>
      <c r="P869" s="262"/>
      <c r="Q869" s="262"/>
      <c r="R869" s="262">
        <v>10</v>
      </c>
    </row>
    <row r="870" spans="1:18" ht="36">
      <c r="A870" s="258">
        <v>61.71</v>
      </c>
      <c r="B870" s="251" t="s">
        <v>1468</v>
      </c>
      <c r="C870" s="259" t="s">
        <v>1469</v>
      </c>
      <c r="D870" s="260">
        <v>968.65</v>
      </c>
      <c r="E870" s="260">
        <v>336.28</v>
      </c>
      <c r="F870" s="260">
        <v>0.71</v>
      </c>
      <c r="G870" s="260">
        <v>631.66</v>
      </c>
      <c r="H870" s="261">
        <v>8577.11</v>
      </c>
      <c r="I870" s="261">
        <v>4388.3900000000003</v>
      </c>
      <c r="J870" s="261">
        <v>2.79</v>
      </c>
      <c r="K870" s="261">
        <v>4185.93</v>
      </c>
      <c r="L870" s="357">
        <v>8.8547050018066393</v>
      </c>
      <c r="M870" s="357">
        <v>13.05</v>
      </c>
      <c r="N870" s="357">
        <v>3.9295774647887325</v>
      </c>
      <c r="O870" s="357">
        <v>6.6268720514200687</v>
      </c>
      <c r="P870" s="262"/>
      <c r="Q870" s="262"/>
      <c r="R870" s="262">
        <v>10</v>
      </c>
    </row>
    <row r="871" spans="1:18" ht="48">
      <c r="A871" s="258">
        <v>61.72</v>
      </c>
      <c r="B871" s="251" t="s">
        <v>1470</v>
      </c>
      <c r="C871" s="259" t="s">
        <v>1471</v>
      </c>
      <c r="D871" s="260">
        <v>5663</v>
      </c>
      <c r="E871" s="260">
        <v>3763.32</v>
      </c>
      <c r="F871" s="260">
        <v>2.02</v>
      </c>
      <c r="G871" s="260">
        <v>1897.66</v>
      </c>
      <c r="H871" s="261">
        <v>61902.71</v>
      </c>
      <c r="I871" s="261">
        <v>49110.67</v>
      </c>
      <c r="J871" s="261">
        <v>7.97</v>
      </c>
      <c r="K871" s="261">
        <v>12784.07</v>
      </c>
      <c r="L871" s="357">
        <v>10.931080699276002</v>
      </c>
      <c r="M871" s="357">
        <v>13.05</v>
      </c>
      <c r="N871" s="357">
        <v>3.9455445544554455</v>
      </c>
      <c r="O871" s="357">
        <v>6.7367547400482692</v>
      </c>
      <c r="P871" s="262"/>
      <c r="Q871" s="262"/>
      <c r="R871" s="262">
        <v>10</v>
      </c>
    </row>
    <row r="872" spans="1:18" ht="48">
      <c r="A872" s="263">
        <v>61.73</v>
      </c>
      <c r="B872" s="264" t="s">
        <v>1472</v>
      </c>
      <c r="C872" s="265" t="s">
        <v>1473</v>
      </c>
      <c r="D872" s="266">
        <v>5153.3100000000004</v>
      </c>
      <c r="E872" s="266">
        <v>3253.63</v>
      </c>
      <c r="F872" s="266">
        <v>2.02</v>
      </c>
      <c r="G872" s="266">
        <v>1897.66</v>
      </c>
      <c r="H872" s="267">
        <v>55251.26</v>
      </c>
      <c r="I872" s="267">
        <v>42459.22</v>
      </c>
      <c r="J872" s="267">
        <v>7.97</v>
      </c>
      <c r="K872" s="267">
        <v>12784.07</v>
      </c>
      <c r="L872" s="356">
        <v>10.721509088333518</v>
      </c>
      <c r="M872" s="356">
        <v>13.05</v>
      </c>
      <c r="N872" s="356">
        <v>3.9455445544554455</v>
      </c>
      <c r="O872" s="356">
        <v>6.7367547400482692</v>
      </c>
      <c r="P872" s="268"/>
      <c r="Q872" s="268"/>
      <c r="R872" s="268">
        <v>10</v>
      </c>
    </row>
    <row r="873" spans="1:18" ht="12.75">
      <c r="A873" s="428" t="s">
        <v>1474</v>
      </c>
      <c r="B873" s="429"/>
      <c r="C873" s="429"/>
      <c r="D873" s="429"/>
      <c r="E873" s="429"/>
      <c r="F873" s="429"/>
      <c r="G873" s="429"/>
      <c r="H873" s="429"/>
      <c r="I873" s="429"/>
      <c r="J873" s="429"/>
      <c r="K873" s="429"/>
      <c r="L873" s="429"/>
      <c r="M873" s="429"/>
      <c r="N873" s="429"/>
      <c r="O873" s="429"/>
      <c r="P873" s="429"/>
      <c r="Q873" s="429"/>
      <c r="R873" s="429"/>
    </row>
    <row r="874" spans="1:18" ht="48">
      <c r="A874" s="258">
        <v>61.74</v>
      </c>
      <c r="B874" s="251" t="s">
        <v>1475</v>
      </c>
      <c r="C874" s="259" t="s">
        <v>1476</v>
      </c>
      <c r="D874" s="260">
        <v>3834.32</v>
      </c>
      <c r="E874" s="260">
        <v>2569.86</v>
      </c>
      <c r="F874" s="260"/>
      <c r="G874" s="260">
        <v>1264.46</v>
      </c>
      <c r="H874" s="261">
        <v>41916.699999999997</v>
      </c>
      <c r="I874" s="261">
        <v>33536.11</v>
      </c>
      <c r="J874" s="261"/>
      <c r="K874" s="261">
        <v>8380.59</v>
      </c>
      <c r="L874" s="357">
        <v>10.931977508397837</v>
      </c>
      <c r="M874" s="357">
        <v>13.05</v>
      </c>
      <c r="N874" s="357" t="s">
        <v>135</v>
      </c>
      <c r="O874" s="357">
        <v>6.6278015911930783</v>
      </c>
      <c r="P874" s="262"/>
      <c r="Q874" s="262"/>
      <c r="R874" s="262">
        <v>11</v>
      </c>
    </row>
    <row r="875" spans="1:18" ht="36">
      <c r="A875" s="258">
        <v>61.75</v>
      </c>
      <c r="B875" s="251" t="s">
        <v>1477</v>
      </c>
      <c r="C875" s="259" t="s">
        <v>1478</v>
      </c>
      <c r="D875" s="260">
        <v>1072.44</v>
      </c>
      <c r="E875" s="260">
        <v>440.78</v>
      </c>
      <c r="F875" s="260"/>
      <c r="G875" s="260">
        <v>631.66</v>
      </c>
      <c r="H875" s="261">
        <v>9938.02</v>
      </c>
      <c r="I875" s="261">
        <v>5752.09</v>
      </c>
      <c r="J875" s="261"/>
      <c r="K875" s="261">
        <v>4185.93</v>
      </c>
      <c r="L875" s="357">
        <v>9.2667375331020843</v>
      </c>
      <c r="M875" s="357">
        <v>13.05</v>
      </c>
      <c r="N875" s="357" t="s">
        <v>135</v>
      </c>
      <c r="O875" s="357">
        <v>6.6268720514200687</v>
      </c>
      <c r="P875" s="262"/>
      <c r="Q875" s="262"/>
      <c r="R875" s="262">
        <v>11</v>
      </c>
    </row>
    <row r="876" spans="1:18" ht="48">
      <c r="A876" s="258">
        <v>61.76</v>
      </c>
      <c r="B876" s="251" t="s">
        <v>1479</v>
      </c>
      <c r="C876" s="259" t="s">
        <v>1480</v>
      </c>
      <c r="D876" s="260">
        <v>3607.87</v>
      </c>
      <c r="E876" s="260">
        <v>2343.41</v>
      </c>
      <c r="F876" s="260"/>
      <c r="G876" s="260">
        <v>1264.46</v>
      </c>
      <c r="H876" s="261">
        <v>38961.56</v>
      </c>
      <c r="I876" s="261">
        <v>30580.97</v>
      </c>
      <c r="J876" s="261"/>
      <c r="K876" s="261">
        <v>8380.59</v>
      </c>
      <c r="L876" s="357">
        <v>10.799047637525742</v>
      </c>
      <c r="M876" s="357">
        <v>13.05</v>
      </c>
      <c r="N876" s="357" t="s">
        <v>135</v>
      </c>
      <c r="O876" s="357">
        <v>6.6278015911930783</v>
      </c>
      <c r="P876" s="262"/>
      <c r="Q876" s="262"/>
      <c r="R876" s="262">
        <v>11</v>
      </c>
    </row>
    <row r="877" spans="1:18" ht="36">
      <c r="A877" s="258">
        <v>61.77</v>
      </c>
      <c r="B877" s="251" t="s">
        <v>1481</v>
      </c>
      <c r="C877" s="259" t="s">
        <v>1482</v>
      </c>
      <c r="D877" s="260">
        <v>1030.6400000000001</v>
      </c>
      <c r="E877" s="260">
        <v>398.98</v>
      </c>
      <c r="F877" s="260"/>
      <c r="G877" s="260">
        <v>631.66</v>
      </c>
      <c r="H877" s="261">
        <v>9392.5400000000009</v>
      </c>
      <c r="I877" s="261">
        <v>5206.6099999999997</v>
      </c>
      <c r="J877" s="261"/>
      <c r="K877" s="261">
        <v>4185.93</v>
      </c>
      <c r="L877" s="357">
        <v>9.113308235659396</v>
      </c>
      <c r="M877" s="357">
        <v>13.05</v>
      </c>
      <c r="N877" s="357" t="s">
        <v>135</v>
      </c>
      <c r="O877" s="357">
        <v>6.6268720514200687</v>
      </c>
      <c r="P877" s="262"/>
      <c r="Q877" s="262"/>
      <c r="R877" s="262">
        <v>11</v>
      </c>
    </row>
    <row r="878" spans="1:18" ht="48">
      <c r="A878" s="258">
        <v>61.78</v>
      </c>
      <c r="B878" s="251" t="s">
        <v>1483</v>
      </c>
      <c r="C878" s="259" t="s">
        <v>1484</v>
      </c>
      <c r="D878" s="260">
        <v>6311.38</v>
      </c>
      <c r="E878" s="260">
        <v>4413.72</v>
      </c>
      <c r="F878" s="260"/>
      <c r="G878" s="260">
        <v>1897.66</v>
      </c>
      <c r="H878" s="261">
        <v>70382.34</v>
      </c>
      <c r="I878" s="261">
        <v>57598.27</v>
      </c>
      <c r="J878" s="261"/>
      <c r="K878" s="261">
        <v>12784.07</v>
      </c>
      <c r="L878" s="357">
        <v>11.151656214647192</v>
      </c>
      <c r="M878" s="357">
        <v>13.05</v>
      </c>
      <c r="N878" s="357" t="s">
        <v>135</v>
      </c>
      <c r="O878" s="357">
        <v>6.7367547400482692</v>
      </c>
      <c r="P878" s="262"/>
      <c r="Q878" s="262"/>
      <c r="R878" s="262">
        <v>11</v>
      </c>
    </row>
    <row r="879" spans="1:18" ht="48">
      <c r="A879" s="263">
        <v>61.79</v>
      </c>
      <c r="B879" s="264" t="s">
        <v>1485</v>
      </c>
      <c r="C879" s="265" t="s">
        <v>1486</v>
      </c>
      <c r="D879" s="266">
        <v>5714.97</v>
      </c>
      <c r="E879" s="266">
        <v>3817.31</v>
      </c>
      <c r="F879" s="266"/>
      <c r="G879" s="266">
        <v>1897.66</v>
      </c>
      <c r="H879" s="267">
        <v>62599.21</v>
      </c>
      <c r="I879" s="267">
        <v>49815.14</v>
      </c>
      <c r="J879" s="267"/>
      <c r="K879" s="267">
        <v>12784.07</v>
      </c>
      <c r="L879" s="356">
        <v>10.95355006238003</v>
      </c>
      <c r="M879" s="356">
        <v>13.05</v>
      </c>
      <c r="N879" s="356" t="s">
        <v>135</v>
      </c>
      <c r="O879" s="356">
        <v>6.7367547400482692</v>
      </c>
      <c r="P879" s="268"/>
      <c r="Q879" s="268"/>
      <c r="R879" s="268">
        <v>11</v>
      </c>
    </row>
    <row r="880" spans="1:18" ht="12.75">
      <c r="A880" s="428" t="s">
        <v>1487</v>
      </c>
      <c r="B880" s="429"/>
      <c r="C880" s="429"/>
      <c r="D880" s="429"/>
      <c r="E880" s="429"/>
      <c r="F880" s="429"/>
      <c r="G880" s="429"/>
      <c r="H880" s="429"/>
      <c r="I880" s="429"/>
      <c r="J880" s="429"/>
      <c r="K880" s="429"/>
      <c r="L880" s="429"/>
      <c r="M880" s="429"/>
      <c r="N880" s="429"/>
      <c r="O880" s="429"/>
      <c r="P880" s="429"/>
      <c r="Q880" s="429"/>
      <c r="R880" s="429"/>
    </row>
    <row r="881" spans="1:18" ht="48">
      <c r="A881" s="258">
        <v>61.8</v>
      </c>
      <c r="B881" s="251" t="s">
        <v>1488</v>
      </c>
      <c r="C881" s="259" t="s">
        <v>1489</v>
      </c>
      <c r="D881" s="260">
        <v>3737.35</v>
      </c>
      <c r="E881" s="260">
        <v>2472.89</v>
      </c>
      <c r="F881" s="260"/>
      <c r="G881" s="260">
        <v>1264.46</v>
      </c>
      <c r="H881" s="261">
        <v>40651.19</v>
      </c>
      <c r="I881" s="261">
        <v>32270.6</v>
      </c>
      <c r="J881" s="261"/>
      <c r="K881" s="261">
        <v>8380.59</v>
      </c>
      <c r="L881" s="357">
        <v>10.877009110733542</v>
      </c>
      <c r="M881" s="357">
        <v>13.05</v>
      </c>
      <c r="N881" s="357" t="s">
        <v>135</v>
      </c>
      <c r="O881" s="357">
        <v>6.6278015911930783</v>
      </c>
      <c r="P881" s="262"/>
      <c r="Q881" s="262"/>
      <c r="R881" s="262">
        <v>12</v>
      </c>
    </row>
    <row r="882" spans="1:18" ht="36">
      <c r="A882" s="258">
        <v>61.81</v>
      </c>
      <c r="B882" s="251" t="s">
        <v>1490</v>
      </c>
      <c r="C882" s="259" t="s">
        <v>1491</v>
      </c>
      <c r="D882" s="260">
        <v>1061.99</v>
      </c>
      <c r="E882" s="260">
        <v>430.33</v>
      </c>
      <c r="F882" s="260"/>
      <c r="G882" s="260">
        <v>631.66</v>
      </c>
      <c r="H882" s="261">
        <v>9801.65</v>
      </c>
      <c r="I882" s="261">
        <v>5615.72</v>
      </c>
      <c r="J882" s="261"/>
      <c r="K882" s="261">
        <v>4185.93</v>
      </c>
      <c r="L882" s="357">
        <v>9.2295125189502727</v>
      </c>
      <c r="M882" s="357">
        <v>13.05</v>
      </c>
      <c r="N882" s="357" t="s">
        <v>135</v>
      </c>
      <c r="O882" s="357">
        <v>6.6268720514200687</v>
      </c>
      <c r="P882" s="262"/>
      <c r="Q882" s="262"/>
      <c r="R882" s="262">
        <v>12</v>
      </c>
    </row>
    <row r="883" spans="1:18" ht="48">
      <c r="A883" s="258">
        <v>61.82</v>
      </c>
      <c r="B883" s="251" t="s">
        <v>1492</v>
      </c>
      <c r="C883" s="259" t="s">
        <v>1493</v>
      </c>
      <c r="D883" s="260">
        <v>3534.72</v>
      </c>
      <c r="E883" s="260">
        <v>2270.2600000000002</v>
      </c>
      <c r="F883" s="260"/>
      <c r="G883" s="260">
        <v>1264.46</v>
      </c>
      <c r="H883" s="261">
        <v>38006.97</v>
      </c>
      <c r="I883" s="261">
        <v>29626.38</v>
      </c>
      <c r="J883" s="261"/>
      <c r="K883" s="261">
        <v>8380.59</v>
      </c>
      <c r="L883" s="357">
        <v>10.752469785442695</v>
      </c>
      <c r="M883" s="357">
        <v>13.05</v>
      </c>
      <c r="N883" s="357" t="s">
        <v>135</v>
      </c>
      <c r="O883" s="357">
        <v>6.6278015911930783</v>
      </c>
      <c r="P883" s="262"/>
      <c r="Q883" s="262"/>
      <c r="R883" s="262">
        <v>12</v>
      </c>
    </row>
    <row r="884" spans="1:18" ht="36">
      <c r="A884" s="258">
        <v>61.83</v>
      </c>
      <c r="B884" s="251" t="s">
        <v>1494</v>
      </c>
      <c r="C884" s="259" t="s">
        <v>1495</v>
      </c>
      <c r="D884" s="260">
        <v>1020.19</v>
      </c>
      <c r="E884" s="260">
        <v>388.53</v>
      </c>
      <c r="F884" s="260"/>
      <c r="G884" s="260">
        <v>631.66</v>
      </c>
      <c r="H884" s="261">
        <v>9256.17</v>
      </c>
      <c r="I884" s="261">
        <v>5070.24</v>
      </c>
      <c r="J884" s="261"/>
      <c r="K884" s="261">
        <v>4185.93</v>
      </c>
      <c r="L884" s="357">
        <v>9.07298640449328</v>
      </c>
      <c r="M884" s="357">
        <v>13.05</v>
      </c>
      <c r="N884" s="357" t="s">
        <v>135</v>
      </c>
      <c r="O884" s="357">
        <v>6.6268720514200687</v>
      </c>
      <c r="P884" s="262"/>
      <c r="Q884" s="262"/>
      <c r="R884" s="262">
        <v>12</v>
      </c>
    </row>
    <row r="885" spans="1:18" ht="48">
      <c r="A885" s="258">
        <v>61.84</v>
      </c>
      <c r="B885" s="251" t="s">
        <v>1496</v>
      </c>
      <c r="C885" s="259" t="s">
        <v>1497</v>
      </c>
      <c r="D885" s="260">
        <v>6181.3</v>
      </c>
      <c r="E885" s="260">
        <v>4283.6400000000003</v>
      </c>
      <c r="F885" s="260"/>
      <c r="G885" s="260">
        <v>1897.66</v>
      </c>
      <c r="H885" s="261">
        <v>68684.820000000007</v>
      </c>
      <c r="I885" s="261">
        <v>55900.75</v>
      </c>
      <c r="J885" s="261"/>
      <c r="K885" s="261">
        <v>12784.07</v>
      </c>
      <c r="L885" s="357">
        <v>11.111711128726968</v>
      </c>
      <c r="M885" s="357">
        <v>13.05</v>
      </c>
      <c r="N885" s="357" t="s">
        <v>135</v>
      </c>
      <c r="O885" s="357">
        <v>6.7367547400482692</v>
      </c>
      <c r="P885" s="262"/>
      <c r="Q885" s="262"/>
      <c r="R885" s="262">
        <v>12</v>
      </c>
    </row>
    <row r="886" spans="1:18" ht="48">
      <c r="A886" s="263">
        <v>61.85</v>
      </c>
      <c r="B886" s="264" t="s">
        <v>1498</v>
      </c>
      <c r="C886" s="265" t="s">
        <v>1499</v>
      </c>
      <c r="D886" s="266">
        <v>5595.73</v>
      </c>
      <c r="E886" s="266">
        <v>3698.07</v>
      </c>
      <c r="F886" s="266"/>
      <c r="G886" s="266">
        <v>1897.66</v>
      </c>
      <c r="H886" s="267">
        <v>61043.15</v>
      </c>
      <c r="I886" s="267">
        <v>48259.08</v>
      </c>
      <c r="J886" s="267"/>
      <c r="K886" s="267">
        <v>12784.07</v>
      </c>
      <c r="L886" s="356">
        <v>10.908880521397567</v>
      </c>
      <c r="M886" s="356">
        <v>13.05</v>
      </c>
      <c r="N886" s="356" t="s">
        <v>135</v>
      </c>
      <c r="O886" s="356">
        <v>6.7367547400482692</v>
      </c>
      <c r="P886" s="268"/>
      <c r="Q886" s="268"/>
      <c r="R886" s="268">
        <v>12</v>
      </c>
    </row>
    <row r="887" spans="1:18" ht="12.75">
      <c r="A887" s="428" t="s">
        <v>1500</v>
      </c>
      <c r="B887" s="429"/>
      <c r="C887" s="429"/>
      <c r="D887" s="429"/>
      <c r="E887" s="429"/>
      <c r="F887" s="429"/>
      <c r="G887" s="429"/>
      <c r="H887" s="429"/>
      <c r="I887" s="429"/>
      <c r="J887" s="429"/>
      <c r="K887" s="429"/>
      <c r="L887" s="429"/>
      <c r="M887" s="429"/>
      <c r="N887" s="429"/>
      <c r="O887" s="429"/>
      <c r="P887" s="429"/>
      <c r="Q887" s="429"/>
      <c r="R887" s="429"/>
    </row>
    <row r="888" spans="1:18" ht="48">
      <c r="A888" s="258">
        <v>61.86</v>
      </c>
      <c r="B888" s="251" t="s">
        <v>1501</v>
      </c>
      <c r="C888" s="259" t="s">
        <v>1502</v>
      </c>
      <c r="D888" s="260">
        <v>5982.67</v>
      </c>
      <c r="E888" s="260">
        <v>3452.21</v>
      </c>
      <c r="F888" s="260">
        <v>2.67</v>
      </c>
      <c r="G888" s="260">
        <v>2527.79</v>
      </c>
      <c r="H888" s="261">
        <v>61813.75</v>
      </c>
      <c r="I888" s="261">
        <v>45050.77</v>
      </c>
      <c r="J888" s="261">
        <v>10.53</v>
      </c>
      <c r="K888" s="261">
        <v>16752.45</v>
      </c>
      <c r="L888" s="357">
        <v>10.332134314612038</v>
      </c>
      <c r="M888" s="357">
        <v>13.05</v>
      </c>
      <c r="N888" s="357">
        <v>3.9438202247191012</v>
      </c>
      <c r="O888" s="357">
        <v>6.627310813002663</v>
      </c>
      <c r="P888" s="262"/>
      <c r="Q888" s="262"/>
      <c r="R888" s="262">
        <v>13</v>
      </c>
    </row>
    <row r="889" spans="1:18" ht="48">
      <c r="A889" s="258">
        <v>61.87</v>
      </c>
      <c r="B889" s="251" t="s">
        <v>1503</v>
      </c>
      <c r="C889" s="259" t="s">
        <v>1504</v>
      </c>
      <c r="D889" s="260">
        <v>1151.02</v>
      </c>
      <c r="E889" s="260">
        <v>518.69000000000005</v>
      </c>
      <c r="F889" s="260">
        <v>0.67</v>
      </c>
      <c r="G889" s="260">
        <v>631.66</v>
      </c>
      <c r="H889" s="261">
        <v>10957.42</v>
      </c>
      <c r="I889" s="261">
        <v>6768.86</v>
      </c>
      <c r="J889" s="261">
        <v>2.63</v>
      </c>
      <c r="K889" s="261">
        <v>4185.93</v>
      </c>
      <c r="L889" s="357">
        <v>9.5197477020381918</v>
      </c>
      <c r="M889" s="357">
        <v>13.05</v>
      </c>
      <c r="N889" s="357">
        <v>3.9253731343283578</v>
      </c>
      <c r="O889" s="357">
        <v>6.6268720514200687</v>
      </c>
      <c r="P889" s="262"/>
      <c r="Q889" s="262"/>
      <c r="R889" s="262">
        <v>13</v>
      </c>
    </row>
    <row r="890" spans="1:18" ht="48">
      <c r="A890" s="258">
        <v>61.88</v>
      </c>
      <c r="B890" s="251" t="s">
        <v>1505</v>
      </c>
      <c r="C890" s="259" t="s">
        <v>1506</v>
      </c>
      <c r="D890" s="260">
        <v>5624.95</v>
      </c>
      <c r="E890" s="260">
        <v>3094.49</v>
      </c>
      <c r="F890" s="260">
        <v>2.67</v>
      </c>
      <c r="G890" s="260">
        <v>2527.79</v>
      </c>
      <c r="H890" s="261">
        <v>57145.57</v>
      </c>
      <c r="I890" s="261">
        <v>40382.589999999997</v>
      </c>
      <c r="J890" s="261">
        <v>10.53</v>
      </c>
      <c r="K890" s="261">
        <v>16752.45</v>
      </c>
      <c r="L890" s="357">
        <v>10.159302749357773</v>
      </c>
      <c r="M890" s="357">
        <v>13.05</v>
      </c>
      <c r="N890" s="357">
        <v>3.9438202247191012</v>
      </c>
      <c r="O890" s="357">
        <v>6.627310813002663</v>
      </c>
      <c r="P890" s="262"/>
      <c r="Q890" s="262"/>
      <c r="R890" s="262">
        <v>13</v>
      </c>
    </row>
    <row r="891" spans="1:18" ht="48">
      <c r="A891" s="258">
        <v>61.89</v>
      </c>
      <c r="B891" s="251" t="s">
        <v>1507</v>
      </c>
      <c r="C891" s="259" t="s">
        <v>1508</v>
      </c>
      <c r="D891" s="260">
        <v>1096.82</v>
      </c>
      <c r="E891" s="260">
        <v>464.49</v>
      </c>
      <c r="F891" s="260">
        <v>0.67</v>
      </c>
      <c r="G891" s="260">
        <v>631.66</v>
      </c>
      <c r="H891" s="261">
        <v>10250.120000000001</v>
      </c>
      <c r="I891" s="261">
        <v>6061.56</v>
      </c>
      <c r="J891" s="261">
        <v>2.63</v>
      </c>
      <c r="K891" s="261">
        <v>4185.93</v>
      </c>
      <c r="L891" s="357">
        <v>9.3453073430462616</v>
      </c>
      <c r="M891" s="357">
        <v>13.05</v>
      </c>
      <c r="N891" s="357">
        <v>3.9253731343283578</v>
      </c>
      <c r="O891" s="357">
        <v>6.6268720514200687</v>
      </c>
      <c r="P891" s="262"/>
      <c r="Q891" s="262"/>
      <c r="R891" s="262">
        <v>13</v>
      </c>
    </row>
    <row r="892" spans="1:18" ht="48">
      <c r="A892" s="258">
        <v>61.9</v>
      </c>
      <c r="B892" s="251" t="s">
        <v>1509</v>
      </c>
      <c r="C892" s="259" t="s">
        <v>1510</v>
      </c>
      <c r="D892" s="260">
        <v>8759.4</v>
      </c>
      <c r="E892" s="260">
        <v>6226.64</v>
      </c>
      <c r="F892" s="260">
        <v>2.67</v>
      </c>
      <c r="G892" s="260">
        <v>2530.09</v>
      </c>
      <c r="H892" s="261">
        <v>98348.1</v>
      </c>
      <c r="I892" s="261">
        <v>81258.789999999994</v>
      </c>
      <c r="J892" s="261">
        <v>10.53</v>
      </c>
      <c r="K892" s="261">
        <v>17078.78</v>
      </c>
      <c r="L892" s="357">
        <v>11.227721076786082</v>
      </c>
      <c r="M892" s="357">
        <v>13.05</v>
      </c>
      <c r="N892" s="357">
        <v>3.9438202247191012</v>
      </c>
      <c r="O892" s="357">
        <v>6.7502658008213139</v>
      </c>
      <c r="P892" s="262"/>
      <c r="Q892" s="262"/>
      <c r="R892" s="262">
        <v>13</v>
      </c>
    </row>
    <row r="893" spans="1:18" ht="48">
      <c r="A893" s="258">
        <v>61.91</v>
      </c>
      <c r="B893" s="251" t="s">
        <v>1511</v>
      </c>
      <c r="C893" s="259" t="s">
        <v>1512</v>
      </c>
      <c r="D893" s="260">
        <v>8072.58</v>
      </c>
      <c r="E893" s="260">
        <v>5539.82</v>
      </c>
      <c r="F893" s="260">
        <v>2.67</v>
      </c>
      <c r="G893" s="260">
        <v>2530.09</v>
      </c>
      <c r="H893" s="261">
        <v>89384.91</v>
      </c>
      <c r="I893" s="261">
        <v>72295.600000000006</v>
      </c>
      <c r="J893" s="261">
        <v>10.53</v>
      </c>
      <c r="K893" s="261">
        <v>17078.78</v>
      </c>
      <c r="L893" s="357">
        <v>11.072657068743823</v>
      </c>
      <c r="M893" s="357">
        <v>13.05</v>
      </c>
      <c r="N893" s="357">
        <v>3.9438202247191012</v>
      </c>
      <c r="O893" s="357">
        <v>6.7502658008213139</v>
      </c>
      <c r="P893" s="262"/>
      <c r="Q893" s="262"/>
      <c r="R893" s="262">
        <v>13</v>
      </c>
    </row>
    <row r="894" spans="1:18" ht="60">
      <c r="A894" s="258">
        <v>61.92</v>
      </c>
      <c r="B894" s="251" t="s">
        <v>1513</v>
      </c>
      <c r="C894" s="259" t="s">
        <v>1514</v>
      </c>
      <c r="D894" s="260">
        <v>184.82</v>
      </c>
      <c r="E894" s="260">
        <v>184.82</v>
      </c>
      <c r="F894" s="260"/>
      <c r="G894" s="260"/>
      <c r="H894" s="261">
        <v>2411.89</v>
      </c>
      <c r="I894" s="261">
        <v>2411.89</v>
      </c>
      <c r="J894" s="261"/>
      <c r="K894" s="261"/>
      <c r="L894" s="357">
        <v>13.049940482631749</v>
      </c>
      <c r="M894" s="357">
        <v>13.05</v>
      </c>
      <c r="N894" s="357" t="s">
        <v>135</v>
      </c>
      <c r="O894" s="357" t="s">
        <v>135</v>
      </c>
      <c r="P894" s="262"/>
      <c r="Q894" s="262"/>
      <c r="R894" s="262">
        <v>13</v>
      </c>
    </row>
    <row r="895" spans="1:18" ht="60">
      <c r="A895" s="263">
        <v>61.93</v>
      </c>
      <c r="B895" s="264" t="s">
        <v>1515</v>
      </c>
      <c r="C895" s="265" t="s">
        <v>1516</v>
      </c>
      <c r="D895" s="266">
        <v>263.55</v>
      </c>
      <c r="E895" s="266">
        <v>263.55</v>
      </c>
      <c r="F895" s="266"/>
      <c r="G895" s="266"/>
      <c r="H895" s="267">
        <v>3439.4</v>
      </c>
      <c r="I895" s="267">
        <v>3439.4</v>
      </c>
      <c r="J895" s="267"/>
      <c r="K895" s="267"/>
      <c r="L895" s="356">
        <v>13.050275090115727</v>
      </c>
      <c r="M895" s="356">
        <v>13.05</v>
      </c>
      <c r="N895" s="356" t="s">
        <v>135</v>
      </c>
      <c r="O895" s="356" t="s">
        <v>135</v>
      </c>
      <c r="P895" s="268"/>
      <c r="Q895" s="268"/>
      <c r="R895" s="268">
        <v>13</v>
      </c>
    </row>
    <row r="896" spans="1:18" ht="12.75">
      <c r="A896" s="428" t="s">
        <v>1517</v>
      </c>
      <c r="B896" s="429"/>
      <c r="C896" s="429"/>
      <c r="D896" s="429"/>
      <c r="E896" s="429"/>
      <c r="F896" s="429"/>
      <c r="G896" s="429"/>
      <c r="H896" s="429"/>
      <c r="I896" s="429"/>
      <c r="J896" s="429"/>
      <c r="K896" s="429"/>
      <c r="L896" s="429"/>
      <c r="M896" s="429"/>
      <c r="N896" s="429"/>
      <c r="O896" s="429"/>
      <c r="P896" s="429"/>
      <c r="Q896" s="429"/>
      <c r="R896" s="429"/>
    </row>
    <row r="897" spans="1:18" ht="48">
      <c r="A897" s="258">
        <v>61.94</v>
      </c>
      <c r="B897" s="251" t="s">
        <v>1518</v>
      </c>
      <c r="C897" s="259" t="s">
        <v>1519</v>
      </c>
      <c r="D897" s="260">
        <v>6576.2</v>
      </c>
      <c r="E897" s="260">
        <v>4048.41</v>
      </c>
      <c r="F897" s="260"/>
      <c r="G897" s="260">
        <v>2527.79</v>
      </c>
      <c r="H897" s="261">
        <v>69583.520000000004</v>
      </c>
      <c r="I897" s="261">
        <v>52831.07</v>
      </c>
      <c r="J897" s="261"/>
      <c r="K897" s="261">
        <v>16752.45</v>
      </c>
      <c r="L897" s="357">
        <v>10.581113713086586</v>
      </c>
      <c r="M897" s="357">
        <v>13.05</v>
      </c>
      <c r="N897" s="357" t="s">
        <v>135</v>
      </c>
      <c r="O897" s="357">
        <v>6.627310813002663</v>
      </c>
      <c r="P897" s="262"/>
      <c r="Q897" s="262"/>
      <c r="R897" s="262">
        <v>14</v>
      </c>
    </row>
    <row r="898" spans="1:18" ht="48">
      <c r="A898" s="258">
        <v>61.95</v>
      </c>
      <c r="B898" s="251" t="s">
        <v>1520</v>
      </c>
      <c r="C898" s="259" t="s">
        <v>1521</v>
      </c>
      <c r="D898" s="260">
        <v>1237.07</v>
      </c>
      <c r="E898" s="260">
        <v>605.41</v>
      </c>
      <c r="F898" s="260"/>
      <c r="G898" s="260">
        <v>631.66</v>
      </c>
      <c r="H898" s="261">
        <v>12086.47</v>
      </c>
      <c r="I898" s="261">
        <v>7900.54</v>
      </c>
      <c r="J898" s="261"/>
      <c r="K898" s="261">
        <v>4185.93</v>
      </c>
      <c r="L898" s="357">
        <v>9.7702393558974023</v>
      </c>
      <c r="M898" s="357">
        <v>13.05</v>
      </c>
      <c r="N898" s="357" t="s">
        <v>135</v>
      </c>
      <c r="O898" s="357">
        <v>6.6268720514200687</v>
      </c>
      <c r="P898" s="262"/>
      <c r="Q898" s="262"/>
      <c r="R898" s="262">
        <v>14</v>
      </c>
    </row>
    <row r="899" spans="1:18" ht="48">
      <c r="A899" s="258">
        <v>61.96</v>
      </c>
      <c r="B899" s="251" t="s">
        <v>1522</v>
      </c>
      <c r="C899" s="259" t="s">
        <v>1523</v>
      </c>
      <c r="D899" s="260">
        <v>6218.48</v>
      </c>
      <c r="E899" s="260">
        <v>3690.69</v>
      </c>
      <c r="F899" s="260"/>
      <c r="G899" s="260">
        <v>2527.79</v>
      </c>
      <c r="H899" s="261">
        <v>64915.34</v>
      </c>
      <c r="I899" s="261">
        <v>48162.89</v>
      </c>
      <c r="J899" s="261"/>
      <c r="K899" s="261">
        <v>16752.45</v>
      </c>
      <c r="L899" s="357">
        <v>10.439100873525364</v>
      </c>
      <c r="M899" s="357">
        <v>13.05</v>
      </c>
      <c r="N899" s="357" t="s">
        <v>135</v>
      </c>
      <c r="O899" s="357">
        <v>6.627310813002663</v>
      </c>
      <c r="P899" s="262"/>
      <c r="Q899" s="262"/>
      <c r="R899" s="262">
        <v>14</v>
      </c>
    </row>
    <row r="900" spans="1:18" ht="48">
      <c r="A900" s="258">
        <v>61.97</v>
      </c>
      <c r="B900" s="251" t="s">
        <v>1524</v>
      </c>
      <c r="C900" s="259" t="s">
        <v>1525</v>
      </c>
      <c r="D900" s="260">
        <v>1182.8699999999999</v>
      </c>
      <c r="E900" s="260">
        <v>551.21</v>
      </c>
      <c r="F900" s="260"/>
      <c r="G900" s="260">
        <v>631.66</v>
      </c>
      <c r="H900" s="261">
        <v>11379.17</v>
      </c>
      <c r="I900" s="261">
        <v>7193.24</v>
      </c>
      <c r="J900" s="261"/>
      <c r="K900" s="261">
        <v>4185.93</v>
      </c>
      <c r="L900" s="357">
        <v>9.6199666911833095</v>
      </c>
      <c r="M900" s="357">
        <v>13.05</v>
      </c>
      <c r="N900" s="357" t="s">
        <v>135</v>
      </c>
      <c r="O900" s="357">
        <v>6.6268720514200687</v>
      </c>
      <c r="P900" s="262"/>
      <c r="Q900" s="262"/>
      <c r="R900" s="262">
        <v>14</v>
      </c>
    </row>
    <row r="901" spans="1:18" ht="48">
      <c r="A901" s="258">
        <v>61.98</v>
      </c>
      <c r="B901" s="251" t="s">
        <v>1526</v>
      </c>
      <c r="C901" s="259" t="s">
        <v>1527</v>
      </c>
      <c r="D901" s="260">
        <v>9835.93</v>
      </c>
      <c r="E901" s="260">
        <v>7305.84</v>
      </c>
      <c r="F901" s="260"/>
      <c r="G901" s="260">
        <v>2530.09</v>
      </c>
      <c r="H901" s="261">
        <v>112421.32</v>
      </c>
      <c r="I901" s="261">
        <v>95342.54</v>
      </c>
      <c r="J901" s="261"/>
      <c r="K901" s="261">
        <v>17078.78</v>
      </c>
      <c r="L901" s="357">
        <v>11.429658405458355</v>
      </c>
      <c r="M901" s="357">
        <v>13.05</v>
      </c>
      <c r="N901" s="357" t="s">
        <v>135</v>
      </c>
      <c r="O901" s="357">
        <v>6.7502658008213139</v>
      </c>
      <c r="P901" s="262"/>
      <c r="Q901" s="262"/>
      <c r="R901" s="262">
        <v>14</v>
      </c>
    </row>
    <row r="902" spans="1:18" ht="48">
      <c r="A902" s="258">
        <v>61.99</v>
      </c>
      <c r="B902" s="251" t="s">
        <v>1528</v>
      </c>
      <c r="C902" s="259" t="s">
        <v>1529</v>
      </c>
      <c r="D902" s="260">
        <v>9089.69</v>
      </c>
      <c r="E902" s="260">
        <v>6559.6</v>
      </c>
      <c r="F902" s="260"/>
      <c r="G902" s="260">
        <v>2530.09</v>
      </c>
      <c r="H902" s="261">
        <v>102682.78</v>
      </c>
      <c r="I902" s="261">
        <v>85604</v>
      </c>
      <c r="J902" s="261"/>
      <c r="K902" s="261">
        <v>17078.78</v>
      </c>
      <c r="L902" s="357">
        <v>11.296620676832763</v>
      </c>
      <c r="M902" s="357">
        <v>13.05</v>
      </c>
      <c r="N902" s="357" t="s">
        <v>135</v>
      </c>
      <c r="O902" s="357">
        <v>6.7502658008213139</v>
      </c>
      <c r="P902" s="262"/>
      <c r="Q902" s="262"/>
      <c r="R902" s="262">
        <v>14</v>
      </c>
    </row>
    <row r="903" spans="1:18" ht="48">
      <c r="A903" s="258">
        <v>61.1</v>
      </c>
      <c r="B903" s="251" t="s">
        <v>1530</v>
      </c>
      <c r="C903" s="259" t="s">
        <v>1531</v>
      </c>
      <c r="D903" s="260">
        <v>231.33</v>
      </c>
      <c r="E903" s="260">
        <v>231.33</v>
      </c>
      <c r="F903" s="260"/>
      <c r="G903" s="260"/>
      <c r="H903" s="261">
        <v>3018.76</v>
      </c>
      <c r="I903" s="261">
        <v>3018.76</v>
      </c>
      <c r="J903" s="261"/>
      <c r="K903" s="261"/>
      <c r="L903" s="357">
        <v>13.049582847015087</v>
      </c>
      <c r="M903" s="357">
        <v>13.05</v>
      </c>
      <c r="N903" s="357" t="s">
        <v>135</v>
      </c>
      <c r="O903" s="357" t="s">
        <v>135</v>
      </c>
      <c r="P903" s="262"/>
      <c r="Q903" s="262"/>
      <c r="R903" s="262">
        <v>14</v>
      </c>
    </row>
    <row r="904" spans="1:18" ht="48">
      <c r="A904" s="263">
        <v>61.100999999999999</v>
      </c>
      <c r="B904" s="264" t="s">
        <v>1532</v>
      </c>
      <c r="C904" s="265" t="s">
        <v>1533</v>
      </c>
      <c r="D904" s="266">
        <v>323.64999999999998</v>
      </c>
      <c r="E904" s="266">
        <v>323.64999999999998</v>
      </c>
      <c r="F904" s="266"/>
      <c r="G904" s="266"/>
      <c r="H904" s="267">
        <v>4223.6400000000003</v>
      </c>
      <c r="I904" s="267">
        <v>4223.6400000000003</v>
      </c>
      <c r="J904" s="267"/>
      <c r="K904" s="267"/>
      <c r="L904" s="356">
        <v>13.050023173180907</v>
      </c>
      <c r="M904" s="356">
        <v>13.05</v>
      </c>
      <c r="N904" s="356" t="s">
        <v>135</v>
      </c>
      <c r="O904" s="356" t="s">
        <v>135</v>
      </c>
      <c r="P904" s="268"/>
      <c r="Q904" s="268"/>
      <c r="R904" s="268">
        <v>14</v>
      </c>
    </row>
    <row r="905" spans="1:18" ht="12.75">
      <c r="A905" s="428" t="s">
        <v>1534</v>
      </c>
      <c r="B905" s="429"/>
      <c r="C905" s="429"/>
      <c r="D905" s="429"/>
      <c r="E905" s="429"/>
      <c r="F905" s="429"/>
      <c r="G905" s="429"/>
      <c r="H905" s="429"/>
      <c r="I905" s="429"/>
      <c r="J905" s="429"/>
      <c r="K905" s="429"/>
      <c r="L905" s="429"/>
      <c r="M905" s="429"/>
      <c r="N905" s="429"/>
      <c r="O905" s="429"/>
      <c r="P905" s="429"/>
      <c r="Q905" s="429"/>
      <c r="R905" s="429"/>
    </row>
    <row r="906" spans="1:18" ht="48">
      <c r="A906" s="258">
        <v>61.101999999999997</v>
      </c>
      <c r="B906" s="251" t="s">
        <v>1535</v>
      </c>
      <c r="C906" s="259" t="s">
        <v>1536</v>
      </c>
      <c r="D906" s="260">
        <v>6456.96</v>
      </c>
      <c r="E906" s="260">
        <v>3929.17</v>
      </c>
      <c r="F906" s="260"/>
      <c r="G906" s="260">
        <v>2527.79</v>
      </c>
      <c r="H906" s="261">
        <v>68027.460000000006</v>
      </c>
      <c r="I906" s="261">
        <v>51275.01</v>
      </c>
      <c r="J906" s="261"/>
      <c r="K906" s="261">
        <v>16752.45</v>
      </c>
      <c r="L906" s="357">
        <v>10.535524457329766</v>
      </c>
      <c r="M906" s="357">
        <v>13.05</v>
      </c>
      <c r="N906" s="357" t="s">
        <v>135</v>
      </c>
      <c r="O906" s="357">
        <v>6.627310813002663</v>
      </c>
      <c r="P906" s="262"/>
      <c r="Q906" s="262"/>
      <c r="R906" s="262">
        <v>15</v>
      </c>
    </row>
    <row r="907" spans="1:18" ht="48">
      <c r="A907" s="258">
        <v>61.103000000000002</v>
      </c>
      <c r="B907" s="251" t="s">
        <v>1537</v>
      </c>
      <c r="C907" s="259" t="s">
        <v>1538</v>
      </c>
      <c r="D907" s="260">
        <v>1226.23</v>
      </c>
      <c r="E907" s="260">
        <v>594.57000000000005</v>
      </c>
      <c r="F907" s="260"/>
      <c r="G907" s="260">
        <v>631.66</v>
      </c>
      <c r="H907" s="261">
        <v>11945.01</v>
      </c>
      <c r="I907" s="261">
        <v>7759.08</v>
      </c>
      <c r="J907" s="261"/>
      <c r="K907" s="261">
        <v>4185.93</v>
      </c>
      <c r="L907" s="357">
        <v>9.7412475636707629</v>
      </c>
      <c r="M907" s="357">
        <v>13.05</v>
      </c>
      <c r="N907" s="357" t="s">
        <v>135</v>
      </c>
      <c r="O907" s="357">
        <v>6.6268720514200687</v>
      </c>
      <c r="P907" s="262"/>
      <c r="Q907" s="262"/>
      <c r="R907" s="262">
        <v>15</v>
      </c>
    </row>
    <row r="908" spans="1:18" ht="48">
      <c r="A908" s="258">
        <v>61.103999999999999</v>
      </c>
      <c r="B908" s="251" t="s">
        <v>1539</v>
      </c>
      <c r="C908" s="259" t="s">
        <v>1540</v>
      </c>
      <c r="D908" s="260">
        <v>6099.24</v>
      </c>
      <c r="E908" s="260">
        <v>3571.45</v>
      </c>
      <c r="F908" s="260"/>
      <c r="G908" s="260">
        <v>2527.79</v>
      </c>
      <c r="H908" s="261">
        <v>63359.28</v>
      </c>
      <c r="I908" s="261">
        <v>46606.83</v>
      </c>
      <c r="J908" s="261"/>
      <c r="K908" s="261">
        <v>16752.45</v>
      </c>
      <c r="L908" s="357">
        <v>10.38806146339544</v>
      </c>
      <c r="M908" s="357">
        <v>13.05</v>
      </c>
      <c r="N908" s="357" t="s">
        <v>135</v>
      </c>
      <c r="O908" s="357">
        <v>6.627310813002663</v>
      </c>
      <c r="P908" s="262"/>
      <c r="Q908" s="262"/>
      <c r="R908" s="262">
        <v>15</v>
      </c>
    </row>
    <row r="909" spans="1:18" ht="48">
      <c r="A909" s="258">
        <v>61.104999999999997</v>
      </c>
      <c r="B909" s="251" t="s">
        <v>1541</v>
      </c>
      <c r="C909" s="259" t="s">
        <v>1542</v>
      </c>
      <c r="D909" s="260">
        <v>1172.03</v>
      </c>
      <c r="E909" s="260">
        <v>540.37</v>
      </c>
      <c r="F909" s="260"/>
      <c r="G909" s="260">
        <v>631.66</v>
      </c>
      <c r="H909" s="261">
        <v>11237.71</v>
      </c>
      <c r="I909" s="261">
        <v>7051.78</v>
      </c>
      <c r="J909" s="261"/>
      <c r="K909" s="261">
        <v>4185.93</v>
      </c>
      <c r="L909" s="357">
        <v>9.5882443282168541</v>
      </c>
      <c r="M909" s="357">
        <v>13.05</v>
      </c>
      <c r="N909" s="357" t="s">
        <v>135</v>
      </c>
      <c r="O909" s="357">
        <v>6.6268720514200687</v>
      </c>
      <c r="P909" s="262"/>
      <c r="Q909" s="262"/>
      <c r="R909" s="262">
        <v>15</v>
      </c>
    </row>
    <row r="910" spans="1:18" ht="48">
      <c r="A910" s="258">
        <v>61.106000000000002</v>
      </c>
      <c r="B910" s="251" t="s">
        <v>1543</v>
      </c>
      <c r="C910" s="259" t="s">
        <v>1544</v>
      </c>
      <c r="D910" s="260">
        <v>9620.09</v>
      </c>
      <c r="E910" s="260">
        <v>7090</v>
      </c>
      <c r="F910" s="260"/>
      <c r="G910" s="260">
        <v>2530.09</v>
      </c>
      <c r="H910" s="261">
        <v>109604.57</v>
      </c>
      <c r="I910" s="261">
        <v>92525.79</v>
      </c>
      <c r="J910" s="261"/>
      <c r="K910" s="261">
        <v>17078.78</v>
      </c>
      <c r="L910" s="357">
        <v>11.393299854783065</v>
      </c>
      <c r="M910" s="357">
        <v>13.05</v>
      </c>
      <c r="N910" s="357" t="s">
        <v>135</v>
      </c>
      <c r="O910" s="357">
        <v>6.7502658008213139</v>
      </c>
      <c r="P910" s="262"/>
      <c r="Q910" s="262"/>
      <c r="R910" s="262">
        <v>15</v>
      </c>
    </row>
    <row r="911" spans="1:18" ht="48">
      <c r="A911" s="258">
        <v>61.106999999999999</v>
      </c>
      <c r="B911" s="251" t="s">
        <v>1545</v>
      </c>
      <c r="C911" s="259" t="s">
        <v>1546</v>
      </c>
      <c r="D911" s="260">
        <v>8987.4500000000007</v>
      </c>
      <c r="E911" s="260">
        <v>6457.36</v>
      </c>
      <c r="F911" s="260"/>
      <c r="G911" s="260">
        <v>2530.09</v>
      </c>
      <c r="H911" s="261">
        <v>101348.53</v>
      </c>
      <c r="I911" s="261">
        <v>84269.75</v>
      </c>
      <c r="J911" s="261"/>
      <c r="K911" s="261">
        <v>17078.78</v>
      </c>
      <c r="L911" s="357">
        <v>11.276672471056862</v>
      </c>
      <c r="M911" s="357">
        <v>13.05</v>
      </c>
      <c r="N911" s="357" t="s">
        <v>135</v>
      </c>
      <c r="O911" s="357">
        <v>6.7502658008213139</v>
      </c>
      <c r="P911" s="262"/>
      <c r="Q911" s="262"/>
      <c r="R911" s="262">
        <v>15</v>
      </c>
    </row>
    <row r="912" spans="1:18" ht="48">
      <c r="A912" s="258">
        <v>61.107999999999997</v>
      </c>
      <c r="B912" s="251" t="s">
        <v>1547</v>
      </c>
      <c r="C912" s="259" t="s">
        <v>1548</v>
      </c>
      <c r="D912" s="260">
        <v>221.35</v>
      </c>
      <c r="E912" s="260">
        <v>221.35</v>
      </c>
      <c r="F912" s="260"/>
      <c r="G912" s="260"/>
      <c r="H912" s="261">
        <v>2888.61</v>
      </c>
      <c r="I912" s="261">
        <v>2888.61</v>
      </c>
      <c r="J912" s="261"/>
      <c r="K912" s="261"/>
      <c r="L912" s="357">
        <v>13.049966117009262</v>
      </c>
      <c r="M912" s="357">
        <v>13.05</v>
      </c>
      <c r="N912" s="357" t="s">
        <v>135</v>
      </c>
      <c r="O912" s="357" t="s">
        <v>135</v>
      </c>
      <c r="P912" s="262"/>
      <c r="Q912" s="262"/>
      <c r="R912" s="262">
        <v>15</v>
      </c>
    </row>
    <row r="913" spans="1:18" ht="48">
      <c r="A913" s="263">
        <v>61.109000000000002</v>
      </c>
      <c r="B913" s="264" t="s">
        <v>1549</v>
      </c>
      <c r="C913" s="265" t="s">
        <v>1550</v>
      </c>
      <c r="D913" s="266">
        <v>314.89999999999998</v>
      </c>
      <c r="E913" s="266">
        <v>314.89999999999998</v>
      </c>
      <c r="F913" s="266"/>
      <c r="G913" s="266"/>
      <c r="H913" s="267">
        <v>4109.49</v>
      </c>
      <c r="I913" s="267">
        <v>4109.49</v>
      </c>
      <c r="J913" s="267"/>
      <c r="K913" s="267"/>
      <c r="L913" s="356">
        <v>13.050142902508734</v>
      </c>
      <c r="M913" s="356">
        <v>13.05</v>
      </c>
      <c r="N913" s="356" t="s">
        <v>135</v>
      </c>
      <c r="O913" s="356" t="s">
        <v>135</v>
      </c>
      <c r="P913" s="268"/>
      <c r="Q913" s="268"/>
      <c r="R913" s="268">
        <v>15</v>
      </c>
    </row>
    <row r="914" spans="1:18" ht="12.75">
      <c r="A914" s="428" t="s">
        <v>1551</v>
      </c>
      <c r="B914" s="429"/>
      <c r="C914" s="429"/>
      <c r="D914" s="429"/>
      <c r="E914" s="429"/>
      <c r="F914" s="429"/>
      <c r="G914" s="429"/>
      <c r="H914" s="429"/>
      <c r="I914" s="429"/>
      <c r="J914" s="429"/>
      <c r="K914" s="429"/>
      <c r="L914" s="429"/>
      <c r="M914" s="429"/>
      <c r="N914" s="429"/>
      <c r="O914" s="429"/>
      <c r="P914" s="429"/>
      <c r="Q914" s="429"/>
      <c r="R914" s="429"/>
    </row>
    <row r="915" spans="1:18" ht="48">
      <c r="A915" s="258">
        <v>61.11</v>
      </c>
      <c r="B915" s="251" t="s">
        <v>1552</v>
      </c>
      <c r="C915" s="259" t="s">
        <v>1553</v>
      </c>
      <c r="D915" s="260">
        <v>3976.33</v>
      </c>
      <c r="E915" s="260">
        <v>2227.42</v>
      </c>
      <c r="F915" s="260">
        <v>1.71</v>
      </c>
      <c r="G915" s="260">
        <v>1747.2</v>
      </c>
      <c r="H915" s="261">
        <v>39422.6</v>
      </c>
      <c r="I915" s="261">
        <v>29067.27</v>
      </c>
      <c r="J915" s="261">
        <v>6.73</v>
      </c>
      <c r="K915" s="261">
        <v>10348.6</v>
      </c>
      <c r="L915" s="357">
        <v>9.9143179766266876</v>
      </c>
      <c r="M915" s="357">
        <v>13.05</v>
      </c>
      <c r="N915" s="357">
        <v>3.9356725146198834</v>
      </c>
      <c r="O915" s="357">
        <v>5.9229624542124544</v>
      </c>
      <c r="P915" s="262"/>
      <c r="Q915" s="262"/>
      <c r="R915" s="262">
        <v>16</v>
      </c>
    </row>
    <row r="916" spans="1:18" ht="60">
      <c r="A916" s="258">
        <v>61.110999999999997</v>
      </c>
      <c r="B916" s="251" t="s">
        <v>1554</v>
      </c>
      <c r="C916" s="259" t="s">
        <v>1555</v>
      </c>
      <c r="D916" s="260">
        <v>956.23</v>
      </c>
      <c r="E916" s="260">
        <v>333.04</v>
      </c>
      <c r="F916" s="260">
        <v>0.67</v>
      </c>
      <c r="G916" s="260">
        <v>622.52</v>
      </c>
      <c r="H916" s="261">
        <v>7998.42</v>
      </c>
      <c r="I916" s="261">
        <v>4346.1099999999997</v>
      </c>
      <c r="J916" s="261">
        <v>2.63</v>
      </c>
      <c r="K916" s="261">
        <v>3649.68</v>
      </c>
      <c r="L916" s="357">
        <v>8.3645357288518447</v>
      </c>
      <c r="M916" s="357">
        <v>13.05</v>
      </c>
      <c r="N916" s="357">
        <v>3.9253731343283578</v>
      </c>
      <c r="O916" s="357">
        <v>5.8627513975454599</v>
      </c>
      <c r="P916" s="262"/>
      <c r="Q916" s="262"/>
      <c r="R916" s="262">
        <v>16</v>
      </c>
    </row>
    <row r="917" spans="1:18" ht="48">
      <c r="A917" s="258">
        <v>61.112000000000002</v>
      </c>
      <c r="B917" s="251" t="s">
        <v>1556</v>
      </c>
      <c r="C917" s="259" t="s">
        <v>1557</v>
      </c>
      <c r="D917" s="260">
        <v>3746.43</v>
      </c>
      <c r="E917" s="260">
        <v>1997.52</v>
      </c>
      <c r="F917" s="260">
        <v>1.71</v>
      </c>
      <c r="G917" s="260">
        <v>1747.2</v>
      </c>
      <c r="H917" s="261">
        <v>36422.46</v>
      </c>
      <c r="I917" s="261">
        <v>26067.13</v>
      </c>
      <c r="J917" s="261">
        <v>6.73</v>
      </c>
      <c r="K917" s="261">
        <v>10348.6</v>
      </c>
      <c r="L917" s="357">
        <v>9.7219112595190627</v>
      </c>
      <c r="M917" s="357">
        <v>13.05</v>
      </c>
      <c r="N917" s="357">
        <v>3.9356725146198834</v>
      </c>
      <c r="O917" s="357">
        <v>5.9229624542124544</v>
      </c>
      <c r="P917" s="262"/>
      <c r="Q917" s="262"/>
      <c r="R917" s="262">
        <v>16</v>
      </c>
    </row>
    <row r="918" spans="1:18" ht="60">
      <c r="A918" s="258">
        <v>61.113</v>
      </c>
      <c r="B918" s="251" t="s">
        <v>1558</v>
      </c>
      <c r="C918" s="259" t="s">
        <v>1559</v>
      </c>
      <c r="D918" s="260">
        <v>914.43</v>
      </c>
      <c r="E918" s="260">
        <v>291.24</v>
      </c>
      <c r="F918" s="260">
        <v>0.67</v>
      </c>
      <c r="G918" s="260">
        <v>622.52</v>
      </c>
      <c r="H918" s="261">
        <v>7452.94</v>
      </c>
      <c r="I918" s="261">
        <v>3800.63</v>
      </c>
      <c r="J918" s="261">
        <v>2.63</v>
      </c>
      <c r="K918" s="261">
        <v>3649.68</v>
      </c>
      <c r="L918" s="357">
        <v>8.150366895224348</v>
      </c>
      <c r="M918" s="357">
        <v>13.05</v>
      </c>
      <c r="N918" s="357">
        <v>3.9253731343283578</v>
      </c>
      <c r="O918" s="357">
        <v>5.8627513975454599</v>
      </c>
      <c r="P918" s="262"/>
      <c r="Q918" s="262"/>
      <c r="R918" s="262">
        <v>16</v>
      </c>
    </row>
    <row r="919" spans="1:18" ht="48">
      <c r="A919" s="258">
        <v>61.113999999999997</v>
      </c>
      <c r="B919" s="251" t="s">
        <v>1560</v>
      </c>
      <c r="C919" s="259" t="s">
        <v>1561</v>
      </c>
      <c r="D919" s="260">
        <v>4361.2700000000004</v>
      </c>
      <c r="E919" s="260">
        <v>2614.0700000000002</v>
      </c>
      <c r="F919" s="260"/>
      <c r="G919" s="260">
        <v>1747.2</v>
      </c>
      <c r="H919" s="261">
        <v>44461.56</v>
      </c>
      <c r="I919" s="261">
        <v>34112.959999999999</v>
      </c>
      <c r="J919" s="261"/>
      <c r="K919" s="261">
        <v>10348.6</v>
      </c>
      <c r="L919" s="357">
        <v>10.19463596612913</v>
      </c>
      <c r="M919" s="357">
        <v>13.05</v>
      </c>
      <c r="N919" s="357" t="s">
        <v>135</v>
      </c>
      <c r="O919" s="357">
        <v>5.9229624542124544</v>
      </c>
      <c r="P919" s="262"/>
      <c r="Q919" s="262"/>
      <c r="R919" s="262">
        <v>16</v>
      </c>
    </row>
    <row r="920" spans="1:18" ht="60">
      <c r="A920" s="258">
        <v>61.115000000000002</v>
      </c>
      <c r="B920" s="251" t="s">
        <v>1562</v>
      </c>
      <c r="C920" s="259" t="s">
        <v>1563</v>
      </c>
      <c r="D920" s="260">
        <v>1018.26</v>
      </c>
      <c r="E920" s="260">
        <v>395.74</v>
      </c>
      <c r="F920" s="260"/>
      <c r="G920" s="260">
        <v>622.52</v>
      </c>
      <c r="H920" s="261">
        <v>8814.01</v>
      </c>
      <c r="I920" s="261">
        <v>5164.33</v>
      </c>
      <c r="J920" s="261"/>
      <c r="K920" s="261">
        <v>3649.68</v>
      </c>
      <c r="L920" s="357">
        <v>8.6559523108047056</v>
      </c>
      <c r="M920" s="357">
        <v>13.05</v>
      </c>
      <c r="N920" s="357" t="s">
        <v>135</v>
      </c>
      <c r="O920" s="357">
        <v>5.8627513975454599</v>
      </c>
      <c r="P920" s="262"/>
      <c r="Q920" s="262"/>
      <c r="R920" s="262">
        <v>16</v>
      </c>
    </row>
    <row r="921" spans="1:18" ht="48">
      <c r="A921" s="258">
        <v>61.116</v>
      </c>
      <c r="B921" s="251" t="s">
        <v>1564</v>
      </c>
      <c r="C921" s="259" t="s">
        <v>1565</v>
      </c>
      <c r="D921" s="260">
        <v>4131.37</v>
      </c>
      <c r="E921" s="260">
        <v>2384.17</v>
      </c>
      <c r="F921" s="260"/>
      <c r="G921" s="260">
        <v>1747.2</v>
      </c>
      <c r="H921" s="261">
        <v>41461.42</v>
      </c>
      <c r="I921" s="261">
        <v>31112.82</v>
      </c>
      <c r="J921" s="261"/>
      <c r="K921" s="261">
        <v>10348.6</v>
      </c>
      <c r="L921" s="357">
        <v>10.035755693631895</v>
      </c>
      <c r="M921" s="357">
        <v>13.05</v>
      </c>
      <c r="N921" s="357" t="s">
        <v>135</v>
      </c>
      <c r="O921" s="357">
        <v>5.9229624542124544</v>
      </c>
      <c r="P921" s="262"/>
      <c r="Q921" s="262"/>
      <c r="R921" s="262">
        <v>16</v>
      </c>
    </row>
    <row r="922" spans="1:18" ht="60">
      <c r="A922" s="258">
        <v>61.116999999999997</v>
      </c>
      <c r="B922" s="251" t="s">
        <v>1566</v>
      </c>
      <c r="C922" s="259" t="s">
        <v>1567</v>
      </c>
      <c r="D922" s="260">
        <v>976.46</v>
      </c>
      <c r="E922" s="260">
        <v>353.94</v>
      </c>
      <c r="F922" s="260"/>
      <c r="G922" s="260">
        <v>622.52</v>
      </c>
      <c r="H922" s="261">
        <v>8268.5300000000007</v>
      </c>
      <c r="I922" s="261">
        <v>4618.8500000000004</v>
      </c>
      <c r="J922" s="261"/>
      <c r="K922" s="261">
        <v>3649.68</v>
      </c>
      <c r="L922" s="357">
        <v>8.4678635069536909</v>
      </c>
      <c r="M922" s="357">
        <v>13.05</v>
      </c>
      <c r="N922" s="357" t="s">
        <v>135</v>
      </c>
      <c r="O922" s="357">
        <v>5.8627513975454599</v>
      </c>
      <c r="P922" s="262"/>
      <c r="Q922" s="262"/>
      <c r="R922" s="262">
        <v>16</v>
      </c>
    </row>
    <row r="923" spans="1:18" ht="36">
      <c r="A923" s="258">
        <v>61.118000000000002</v>
      </c>
      <c r="B923" s="251" t="s">
        <v>1568</v>
      </c>
      <c r="C923" s="259" t="s">
        <v>1569</v>
      </c>
      <c r="D923" s="260">
        <v>4277.67</v>
      </c>
      <c r="E923" s="260">
        <v>2530.4699999999998</v>
      </c>
      <c r="F923" s="260"/>
      <c r="G923" s="260">
        <v>1747.2</v>
      </c>
      <c r="H923" s="261">
        <v>43370.6</v>
      </c>
      <c r="I923" s="261">
        <v>33022</v>
      </c>
      <c r="J923" s="261"/>
      <c r="K923" s="261">
        <v>10348.6</v>
      </c>
      <c r="L923" s="357">
        <v>10.138837264211592</v>
      </c>
      <c r="M923" s="357">
        <v>13.05</v>
      </c>
      <c r="N923" s="357" t="s">
        <v>135</v>
      </c>
      <c r="O923" s="357">
        <v>5.9229624542124544</v>
      </c>
      <c r="P923" s="262"/>
      <c r="Q923" s="262"/>
      <c r="R923" s="262">
        <v>16</v>
      </c>
    </row>
    <row r="924" spans="1:18" ht="48">
      <c r="A924" s="258">
        <v>61.119</v>
      </c>
      <c r="B924" s="251" t="s">
        <v>1570</v>
      </c>
      <c r="C924" s="259" t="s">
        <v>1571</v>
      </c>
      <c r="D924" s="260">
        <v>1007.81</v>
      </c>
      <c r="E924" s="260">
        <v>385.29</v>
      </c>
      <c r="F924" s="260"/>
      <c r="G924" s="260">
        <v>622.52</v>
      </c>
      <c r="H924" s="261">
        <v>8677.64</v>
      </c>
      <c r="I924" s="261">
        <v>5027.96</v>
      </c>
      <c r="J924" s="261"/>
      <c r="K924" s="261">
        <v>3649.68</v>
      </c>
      <c r="L924" s="357">
        <v>8.6103928319822192</v>
      </c>
      <c r="M924" s="357">
        <v>13.05</v>
      </c>
      <c r="N924" s="357" t="s">
        <v>135</v>
      </c>
      <c r="O924" s="357">
        <v>5.8627513975454599</v>
      </c>
      <c r="P924" s="262"/>
      <c r="Q924" s="262"/>
      <c r="R924" s="262">
        <v>16</v>
      </c>
    </row>
    <row r="925" spans="1:18" ht="48">
      <c r="A925" s="258">
        <v>61.12</v>
      </c>
      <c r="B925" s="251" t="s">
        <v>1572</v>
      </c>
      <c r="C925" s="259" t="s">
        <v>1573</v>
      </c>
      <c r="D925" s="260">
        <v>4047.77</v>
      </c>
      <c r="E925" s="260">
        <v>2300.5700000000002</v>
      </c>
      <c r="F925" s="260"/>
      <c r="G925" s="260">
        <v>1747.2</v>
      </c>
      <c r="H925" s="261">
        <v>40370.46</v>
      </c>
      <c r="I925" s="261">
        <v>30021.86</v>
      </c>
      <c r="J925" s="261"/>
      <c r="K925" s="261">
        <v>10348.6</v>
      </c>
      <c r="L925" s="357">
        <v>9.9735063998201472</v>
      </c>
      <c r="M925" s="357">
        <v>13.05</v>
      </c>
      <c r="N925" s="357" t="s">
        <v>135</v>
      </c>
      <c r="O925" s="357">
        <v>5.9229624542124544</v>
      </c>
      <c r="P925" s="262"/>
      <c r="Q925" s="262"/>
      <c r="R925" s="262">
        <v>16</v>
      </c>
    </row>
    <row r="926" spans="1:18" ht="48">
      <c r="A926" s="263">
        <v>61.121000000000002</v>
      </c>
      <c r="B926" s="264" t="s">
        <v>1574</v>
      </c>
      <c r="C926" s="265" t="s">
        <v>1575</v>
      </c>
      <c r="D926" s="266">
        <v>966.01</v>
      </c>
      <c r="E926" s="266">
        <v>343.49</v>
      </c>
      <c r="F926" s="266"/>
      <c r="G926" s="266">
        <v>622.52</v>
      </c>
      <c r="H926" s="267">
        <v>8132.16</v>
      </c>
      <c r="I926" s="267">
        <v>4482.4799999999996</v>
      </c>
      <c r="J926" s="267"/>
      <c r="K926" s="267">
        <v>3649.68</v>
      </c>
      <c r="L926" s="356">
        <v>8.4182979472262183</v>
      </c>
      <c r="M926" s="356">
        <v>13.05</v>
      </c>
      <c r="N926" s="356" t="s">
        <v>135</v>
      </c>
      <c r="O926" s="356">
        <v>5.8627513975454599</v>
      </c>
      <c r="P926" s="268"/>
      <c r="Q926" s="268"/>
      <c r="R926" s="268">
        <v>16</v>
      </c>
    </row>
    <row r="927" spans="1:18" ht="12.75">
      <c r="A927" s="428" t="s">
        <v>1576</v>
      </c>
      <c r="B927" s="429"/>
      <c r="C927" s="429"/>
      <c r="D927" s="429"/>
      <c r="E927" s="429"/>
      <c r="F927" s="429"/>
      <c r="G927" s="429"/>
      <c r="H927" s="429"/>
      <c r="I927" s="429"/>
      <c r="J927" s="429"/>
      <c r="K927" s="429"/>
      <c r="L927" s="429"/>
      <c r="M927" s="429"/>
      <c r="N927" s="429"/>
      <c r="O927" s="429"/>
      <c r="P927" s="429"/>
      <c r="Q927" s="429"/>
      <c r="R927" s="429"/>
    </row>
    <row r="928" spans="1:18" ht="48">
      <c r="A928" s="258">
        <v>61.122</v>
      </c>
      <c r="B928" s="251" t="s">
        <v>1577</v>
      </c>
      <c r="C928" s="259" t="s">
        <v>1578</v>
      </c>
      <c r="D928" s="260">
        <v>4049.23</v>
      </c>
      <c r="E928" s="260">
        <v>2783.44</v>
      </c>
      <c r="F928" s="260">
        <v>1.33</v>
      </c>
      <c r="G928" s="260">
        <v>1264.46</v>
      </c>
      <c r="H928" s="261">
        <v>44710.94</v>
      </c>
      <c r="I928" s="261">
        <v>36325.089999999997</v>
      </c>
      <c r="J928" s="261">
        <v>5.26</v>
      </c>
      <c r="K928" s="261">
        <v>8380.59</v>
      </c>
      <c r="L928" s="357">
        <v>11.041837583935711</v>
      </c>
      <c r="M928" s="357">
        <v>13.05</v>
      </c>
      <c r="N928" s="357">
        <v>3.9548872180451125</v>
      </c>
      <c r="O928" s="357">
        <v>6.6278015911930783</v>
      </c>
      <c r="P928" s="262"/>
      <c r="Q928" s="262"/>
      <c r="R928" s="262">
        <v>17</v>
      </c>
    </row>
    <row r="929" spans="1:18" ht="48">
      <c r="A929" s="258">
        <v>61.122999999999998</v>
      </c>
      <c r="B929" s="251" t="s">
        <v>1579</v>
      </c>
      <c r="C929" s="259" t="s">
        <v>1580</v>
      </c>
      <c r="D929" s="260">
        <v>1019.5</v>
      </c>
      <c r="E929" s="260">
        <v>387.17</v>
      </c>
      <c r="F929" s="260">
        <v>0.67</v>
      </c>
      <c r="G929" s="260">
        <v>631.66</v>
      </c>
      <c r="H929" s="261">
        <v>9241.2800000000007</v>
      </c>
      <c r="I929" s="261">
        <v>5052.72</v>
      </c>
      <c r="J929" s="261">
        <v>2.63</v>
      </c>
      <c r="K929" s="261">
        <v>4185.93</v>
      </c>
      <c r="L929" s="357">
        <v>9.0645218244237373</v>
      </c>
      <c r="M929" s="357">
        <v>13.05</v>
      </c>
      <c r="N929" s="357">
        <v>3.9253731343283578</v>
      </c>
      <c r="O929" s="357">
        <v>6.6268720514200687</v>
      </c>
      <c r="P929" s="262"/>
      <c r="Q929" s="262"/>
      <c r="R929" s="262">
        <v>17</v>
      </c>
    </row>
    <row r="930" spans="1:18" ht="60">
      <c r="A930" s="258">
        <v>61.124000000000002</v>
      </c>
      <c r="B930" s="251" t="s">
        <v>1581</v>
      </c>
      <c r="C930" s="259" t="s">
        <v>1582</v>
      </c>
      <c r="D930" s="260">
        <v>7235.54</v>
      </c>
      <c r="E930" s="260">
        <v>4705.08</v>
      </c>
      <c r="F930" s="260">
        <v>2.67</v>
      </c>
      <c r="G930" s="260">
        <v>2527.79</v>
      </c>
      <c r="H930" s="261">
        <v>78165.17</v>
      </c>
      <c r="I930" s="261">
        <v>61402.19</v>
      </c>
      <c r="J930" s="261">
        <v>10.53</v>
      </c>
      <c r="K930" s="261">
        <v>16752.45</v>
      </c>
      <c r="L930" s="357">
        <v>10.802949054251652</v>
      </c>
      <c r="M930" s="357">
        <v>13.05</v>
      </c>
      <c r="N930" s="357">
        <v>3.9438202247191012</v>
      </c>
      <c r="O930" s="357">
        <v>6.627310813002663</v>
      </c>
      <c r="P930" s="262"/>
      <c r="Q930" s="262"/>
      <c r="R930" s="262">
        <v>17</v>
      </c>
    </row>
    <row r="931" spans="1:18" ht="48">
      <c r="A931" s="258">
        <v>61.125</v>
      </c>
      <c r="B931" s="251" t="s">
        <v>1583</v>
      </c>
      <c r="C931" s="259" t="s">
        <v>1584</v>
      </c>
      <c r="D931" s="260">
        <v>1184.43</v>
      </c>
      <c r="E931" s="260">
        <v>552.1</v>
      </c>
      <c r="F931" s="260">
        <v>0.67</v>
      </c>
      <c r="G931" s="260">
        <v>631.66</v>
      </c>
      <c r="H931" s="261">
        <v>11393.51</v>
      </c>
      <c r="I931" s="261">
        <v>7204.95</v>
      </c>
      <c r="J931" s="261">
        <v>2.63</v>
      </c>
      <c r="K931" s="261">
        <v>4185.93</v>
      </c>
      <c r="L931" s="357">
        <v>9.6194034261205807</v>
      </c>
      <c r="M931" s="357">
        <v>13.05</v>
      </c>
      <c r="N931" s="357">
        <v>3.9253731343283578</v>
      </c>
      <c r="O931" s="357">
        <v>6.6268720514200687</v>
      </c>
      <c r="P931" s="262"/>
      <c r="Q931" s="262"/>
      <c r="R931" s="262">
        <v>17</v>
      </c>
    </row>
    <row r="932" spans="1:18" ht="48">
      <c r="A932" s="258">
        <v>61.125999999999998</v>
      </c>
      <c r="B932" s="251" t="s">
        <v>1585</v>
      </c>
      <c r="C932" s="259" t="s">
        <v>1586</v>
      </c>
      <c r="D932" s="260">
        <v>7079.11</v>
      </c>
      <c r="E932" s="260">
        <v>4548.7299999999996</v>
      </c>
      <c r="F932" s="260">
        <v>2.59</v>
      </c>
      <c r="G932" s="260">
        <v>2527.79</v>
      </c>
      <c r="H932" s="261">
        <v>76123.199999999997</v>
      </c>
      <c r="I932" s="261">
        <v>59360.53</v>
      </c>
      <c r="J932" s="261">
        <v>10.220000000000001</v>
      </c>
      <c r="K932" s="261">
        <v>16752.45</v>
      </c>
      <c r="L932" s="357">
        <v>10.753216152877975</v>
      </c>
      <c r="M932" s="357">
        <v>13.05</v>
      </c>
      <c r="N932" s="357">
        <v>3.9459459459459465</v>
      </c>
      <c r="O932" s="357">
        <v>6.627310813002663</v>
      </c>
      <c r="P932" s="262"/>
      <c r="Q932" s="262"/>
      <c r="R932" s="262">
        <v>17</v>
      </c>
    </row>
    <row r="933" spans="1:18" ht="60">
      <c r="A933" s="258">
        <v>61.127000000000002</v>
      </c>
      <c r="B933" s="251" t="s">
        <v>1587</v>
      </c>
      <c r="C933" s="259" t="s">
        <v>1588</v>
      </c>
      <c r="D933" s="260">
        <v>159.29</v>
      </c>
      <c r="E933" s="260">
        <v>159.29</v>
      </c>
      <c r="F933" s="260"/>
      <c r="G933" s="260"/>
      <c r="H933" s="261">
        <v>2078.7399999999998</v>
      </c>
      <c r="I933" s="261">
        <v>2078.7399999999998</v>
      </c>
      <c r="J933" s="261"/>
      <c r="K933" s="261"/>
      <c r="L933" s="357">
        <v>13.050034528218971</v>
      </c>
      <c r="M933" s="357">
        <v>13.05</v>
      </c>
      <c r="N933" s="357" t="s">
        <v>135</v>
      </c>
      <c r="O933" s="357" t="s">
        <v>135</v>
      </c>
      <c r="P933" s="262"/>
      <c r="Q933" s="262"/>
      <c r="R933" s="262">
        <v>17</v>
      </c>
    </row>
    <row r="934" spans="1:18" ht="48">
      <c r="A934" s="258">
        <v>61.128</v>
      </c>
      <c r="B934" s="251" t="s">
        <v>1589</v>
      </c>
      <c r="C934" s="259" t="s">
        <v>1590</v>
      </c>
      <c r="D934" s="260">
        <v>7040.52</v>
      </c>
      <c r="E934" s="260">
        <v>5140.84</v>
      </c>
      <c r="F934" s="260">
        <v>2.02</v>
      </c>
      <c r="G934" s="260">
        <v>1897.66</v>
      </c>
      <c r="H934" s="261">
        <v>79879.070000000007</v>
      </c>
      <c r="I934" s="261">
        <v>67087.03</v>
      </c>
      <c r="J934" s="261">
        <v>7.97</v>
      </c>
      <c r="K934" s="261">
        <v>12784.07</v>
      </c>
      <c r="L934" s="357">
        <v>11.345620778010716</v>
      </c>
      <c r="M934" s="357">
        <v>13.05</v>
      </c>
      <c r="N934" s="357">
        <v>3.9455445544554455</v>
      </c>
      <c r="O934" s="357">
        <v>6.7367547400482692</v>
      </c>
      <c r="P934" s="262"/>
      <c r="Q934" s="262"/>
      <c r="R934" s="262">
        <v>17</v>
      </c>
    </row>
    <row r="935" spans="1:18" ht="48">
      <c r="A935" s="258">
        <v>61.128999999999998</v>
      </c>
      <c r="B935" s="251" t="s">
        <v>1591</v>
      </c>
      <c r="C935" s="259" t="s">
        <v>1592</v>
      </c>
      <c r="D935" s="260">
        <v>8164.65</v>
      </c>
      <c r="E935" s="260">
        <v>5637.63</v>
      </c>
      <c r="F935" s="260">
        <v>2.67</v>
      </c>
      <c r="G935" s="260">
        <v>2524.35</v>
      </c>
      <c r="H935" s="261">
        <v>90623.29</v>
      </c>
      <c r="I935" s="261">
        <v>73572.03</v>
      </c>
      <c r="J935" s="261">
        <v>10.53</v>
      </c>
      <c r="K935" s="261">
        <v>17040.73</v>
      </c>
      <c r="L935" s="357">
        <v>11.099470277354204</v>
      </c>
      <c r="M935" s="357">
        <v>13.05</v>
      </c>
      <c r="N935" s="357">
        <v>3.9438202247191012</v>
      </c>
      <c r="O935" s="357">
        <v>6.7505417236120193</v>
      </c>
      <c r="P935" s="262"/>
      <c r="Q935" s="262"/>
      <c r="R935" s="262">
        <v>17</v>
      </c>
    </row>
    <row r="936" spans="1:18" ht="48">
      <c r="A936" s="258">
        <v>61.13</v>
      </c>
      <c r="B936" s="251" t="s">
        <v>1593</v>
      </c>
      <c r="C936" s="259" t="s">
        <v>1594</v>
      </c>
      <c r="D936" s="260">
        <v>9315.43</v>
      </c>
      <c r="E936" s="260">
        <v>6788.41</v>
      </c>
      <c r="F936" s="260">
        <v>2.67</v>
      </c>
      <c r="G936" s="260">
        <v>2524.35</v>
      </c>
      <c r="H936" s="261">
        <v>105637.31</v>
      </c>
      <c r="I936" s="261">
        <v>88586.05</v>
      </c>
      <c r="J936" s="261">
        <v>10.53</v>
      </c>
      <c r="K936" s="261">
        <v>17040.73</v>
      </c>
      <c r="L936" s="357">
        <v>11.340035833021126</v>
      </c>
      <c r="M936" s="357">
        <v>13.05</v>
      </c>
      <c r="N936" s="357">
        <v>3.9438202247191012</v>
      </c>
      <c r="O936" s="357">
        <v>6.7505417236120193</v>
      </c>
      <c r="P936" s="262"/>
      <c r="Q936" s="262"/>
      <c r="R936" s="262">
        <v>17</v>
      </c>
    </row>
    <row r="937" spans="1:18" ht="60">
      <c r="A937" s="258">
        <v>61.131</v>
      </c>
      <c r="B937" s="251" t="s">
        <v>1595</v>
      </c>
      <c r="C937" s="259" t="s">
        <v>1596</v>
      </c>
      <c r="D937" s="260">
        <v>213.56</v>
      </c>
      <c r="E937" s="260">
        <v>213.56</v>
      </c>
      <c r="F937" s="260"/>
      <c r="G937" s="260"/>
      <c r="H937" s="261">
        <v>2786.92</v>
      </c>
      <c r="I937" s="261">
        <v>2786.92</v>
      </c>
      <c r="J937" s="261"/>
      <c r="K937" s="261"/>
      <c r="L937" s="357">
        <v>13.04982206405694</v>
      </c>
      <c r="M937" s="357">
        <v>13.05</v>
      </c>
      <c r="N937" s="357" t="s">
        <v>135</v>
      </c>
      <c r="O937" s="357" t="s">
        <v>135</v>
      </c>
      <c r="P937" s="262"/>
      <c r="Q937" s="262"/>
      <c r="R937" s="262">
        <v>17</v>
      </c>
    </row>
    <row r="938" spans="1:18" ht="48">
      <c r="A938" s="258">
        <v>61.131999999999998</v>
      </c>
      <c r="B938" s="251" t="s">
        <v>1597</v>
      </c>
      <c r="C938" s="259" t="s">
        <v>1598</v>
      </c>
      <c r="D938" s="260">
        <v>5215.78</v>
      </c>
      <c r="E938" s="260">
        <v>3434.61</v>
      </c>
      <c r="F938" s="260">
        <v>1.71</v>
      </c>
      <c r="G938" s="260">
        <v>1779.46</v>
      </c>
      <c r="H938" s="261">
        <v>55383.92</v>
      </c>
      <c r="I938" s="261">
        <v>44821.01</v>
      </c>
      <c r="J938" s="261">
        <v>6.73</v>
      </c>
      <c r="K938" s="261">
        <v>10556.18</v>
      </c>
      <c r="L938" s="357">
        <v>10.618530689561293</v>
      </c>
      <c r="M938" s="357">
        <v>13.05</v>
      </c>
      <c r="N938" s="357">
        <v>3.9356725146198834</v>
      </c>
      <c r="O938" s="357">
        <v>5.9322378699155927</v>
      </c>
      <c r="P938" s="262"/>
      <c r="Q938" s="262"/>
      <c r="R938" s="262">
        <v>17</v>
      </c>
    </row>
    <row r="939" spans="1:18" ht="48">
      <c r="A939" s="258">
        <v>61.133000000000003</v>
      </c>
      <c r="B939" s="251" t="s">
        <v>1599</v>
      </c>
      <c r="C939" s="259" t="s">
        <v>1600</v>
      </c>
      <c r="D939" s="260">
        <v>1154.5</v>
      </c>
      <c r="E939" s="260">
        <v>531.30999999999995</v>
      </c>
      <c r="F939" s="260">
        <v>0.67</v>
      </c>
      <c r="G939" s="260">
        <v>622.52</v>
      </c>
      <c r="H939" s="261">
        <v>10585.87</v>
      </c>
      <c r="I939" s="261">
        <v>6933.56</v>
      </c>
      <c r="J939" s="261">
        <v>2.63</v>
      </c>
      <c r="K939" s="261">
        <v>3649.68</v>
      </c>
      <c r="L939" s="357">
        <v>9.1692247726288443</v>
      </c>
      <c r="M939" s="357">
        <v>13.05</v>
      </c>
      <c r="N939" s="357">
        <v>3.9253731343283578</v>
      </c>
      <c r="O939" s="357">
        <v>5.8627513975454599</v>
      </c>
      <c r="P939" s="262"/>
      <c r="Q939" s="262"/>
      <c r="R939" s="262">
        <v>17</v>
      </c>
    </row>
    <row r="940" spans="1:18" ht="48">
      <c r="A940" s="258">
        <v>61.134</v>
      </c>
      <c r="B940" s="251" t="s">
        <v>1601</v>
      </c>
      <c r="C940" s="259" t="s">
        <v>1602</v>
      </c>
      <c r="D940" s="260">
        <v>7997.9</v>
      </c>
      <c r="E940" s="260">
        <v>5131.18</v>
      </c>
      <c r="F940" s="260">
        <v>3.41</v>
      </c>
      <c r="G940" s="260">
        <v>2863.31</v>
      </c>
      <c r="H940" s="261">
        <v>83995.77</v>
      </c>
      <c r="I940" s="261">
        <v>66960.39</v>
      </c>
      <c r="J940" s="261">
        <v>13.47</v>
      </c>
      <c r="K940" s="261">
        <v>17021.91</v>
      </c>
      <c r="L940" s="357">
        <v>10.50222808487228</v>
      </c>
      <c r="M940" s="357">
        <v>13.05</v>
      </c>
      <c r="N940" s="357">
        <v>3.9501466275659824</v>
      </c>
      <c r="O940" s="357">
        <v>5.944836570263087</v>
      </c>
      <c r="P940" s="262"/>
      <c r="Q940" s="262"/>
      <c r="R940" s="262">
        <v>17</v>
      </c>
    </row>
    <row r="941" spans="1:18" ht="48">
      <c r="A941" s="263">
        <v>61.134999999999998</v>
      </c>
      <c r="B941" s="264" t="s">
        <v>1603</v>
      </c>
      <c r="C941" s="265" t="s">
        <v>1604</v>
      </c>
      <c r="D941" s="266">
        <v>1207.1600000000001</v>
      </c>
      <c r="E941" s="266">
        <v>583.97</v>
      </c>
      <c r="F941" s="266">
        <v>0.67</v>
      </c>
      <c r="G941" s="266">
        <v>622.52</v>
      </c>
      <c r="H941" s="267">
        <v>11272.9</v>
      </c>
      <c r="I941" s="267">
        <v>7620.59</v>
      </c>
      <c r="J941" s="267">
        <v>2.63</v>
      </c>
      <c r="K941" s="267">
        <v>3649.68</v>
      </c>
      <c r="L941" s="356">
        <v>9.3383644255939551</v>
      </c>
      <c r="M941" s="356">
        <v>13.05</v>
      </c>
      <c r="N941" s="356">
        <v>3.9253731343283578</v>
      </c>
      <c r="O941" s="356">
        <v>5.8627513975454599</v>
      </c>
      <c r="P941" s="268"/>
      <c r="Q941" s="268"/>
      <c r="R941" s="268">
        <v>17</v>
      </c>
    </row>
    <row r="942" spans="1:18" ht="12.75">
      <c r="A942" s="428" t="s">
        <v>1605</v>
      </c>
      <c r="B942" s="429"/>
      <c r="C942" s="429"/>
      <c r="D942" s="429"/>
      <c r="E942" s="429"/>
      <c r="F942" s="429"/>
      <c r="G942" s="429"/>
      <c r="H942" s="429"/>
      <c r="I942" s="429"/>
      <c r="J942" s="429"/>
      <c r="K942" s="429"/>
      <c r="L942" s="429"/>
      <c r="M942" s="429"/>
      <c r="N942" s="429"/>
      <c r="O942" s="429"/>
      <c r="P942" s="429"/>
      <c r="Q942" s="429"/>
      <c r="R942" s="429"/>
    </row>
    <row r="943" spans="1:18" ht="48">
      <c r="A943" s="258">
        <v>61.136000000000003</v>
      </c>
      <c r="B943" s="251" t="s">
        <v>1606</v>
      </c>
      <c r="C943" s="259" t="s">
        <v>1607</v>
      </c>
      <c r="D943" s="260">
        <v>4457.1499999999996</v>
      </c>
      <c r="E943" s="260">
        <v>3192.69</v>
      </c>
      <c r="F943" s="260"/>
      <c r="G943" s="260">
        <v>1264.46</v>
      </c>
      <c r="H943" s="261">
        <v>50046.67</v>
      </c>
      <c r="I943" s="261">
        <v>41666.080000000002</v>
      </c>
      <c r="J943" s="261"/>
      <c r="K943" s="261">
        <v>8380.59</v>
      </c>
      <c r="L943" s="357">
        <v>11.228401557048787</v>
      </c>
      <c r="M943" s="357">
        <v>13.05</v>
      </c>
      <c r="N943" s="357" t="s">
        <v>135</v>
      </c>
      <c r="O943" s="357">
        <v>6.6278015911930783</v>
      </c>
      <c r="P943" s="262"/>
      <c r="Q943" s="262"/>
      <c r="R943" s="262">
        <v>18</v>
      </c>
    </row>
    <row r="944" spans="1:18" ht="48">
      <c r="A944" s="258">
        <v>61.137</v>
      </c>
      <c r="B944" s="251" t="s">
        <v>1608</v>
      </c>
      <c r="C944" s="259" t="s">
        <v>1609</v>
      </c>
      <c r="D944" s="260">
        <v>1103.19</v>
      </c>
      <c r="E944" s="260">
        <v>471.53</v>
      </c>
      <c r="F944" s="260"/>
      <c r="G944" s="260">
        <v>631.66</v>
      </c>
      <c r="H944" s="261">
        <v>10339.58</v>
      </c>
      <c r="I944" s="261">
        <v>6153.65</v>
      </c>
      <c r="J944" s="261"/>
      <c r="K944" s="261">
        <v>4185.93</v>
      </c>
      <c r="L944" s="357">
        <v>9.3724381112954251</v>
      </c>
      <c r="M944" s="357">
        <v>13.05</v>
      </c>
      <c r="N944" s="357" t="s">
        <v>135</v>
      </c>
      <c r="O944" s="357">
        <v>6.6268720514200687</v>
      </c>
      <c r="P944" s="262"/>
      <c r="Q944" s="262"/>
      <c r="R944" s="262">
        <v>18</v>
      </c>
    </row>
    <row r="945" spans="1:18" ht="60">
      <c r="A945" s="258">
        <v>61.137999999999998</v>
      </c>
      <c r="B945" s="251" t="s">
        <v>1610</v>
      </c>
      <c r="C945" s="259" t="s">
        <v>1611</v>
      </c>
      <c r="D945" s="260">
        <v>7722.95</v>
      </c>
      <c r="E945" s="260">
        <v>5195.16</v>
      </c>
      <c r="F945" s="260"/>
      <c r="G945" s="260">
        <v>2527.79</v>
      </c>
      <c r="H945" s="261">
        <v>84550.14</v>
      </c>
      <c r="I945" s="261">
        <v>67797.69</v>
      </c>
      <c r="J945" s="261"/>
      <c r="K945" s="261">
        <v>16752.45</v>
      </c>
      <c r="L945" s="357">
        <v>10.947907211622502</v>
      </c>
      <c r="M945" s="357">
        <v>13.05</v>
      </c>
      <c r="N945" s="357" t="s">
        <v>135</v>
      </c>
      <c r="O945" s="357">
        <v>6.627310813002663</v>
      </c>
      <c r="P945" s="262"/>
      <c r="Q945" s="262"/>
      <c r="R945" s="262">
        <v>18</v>
      </c>
    </row>
    <row r="946" spans="1:18" ht="48">
      <c r="A946" s="258">
        <v>61.139000000000003</v>
      </c>
      <c r="B946" s="251" t="s">
        <v>1612</v>
      </c>
      <c r="C946" s="259" t="s">
        <v>1613</v>
      </c>
      <c r="D946" s="260">
        <v>1237.72</v>
      </c>
      <c r="E946" s="260">
        <v>606.05999999999995</v>
      </c>
      <c r="F946" s="260"/>
      <c r="G946" s="260">
        <v>631.66</v>
      </c>
      <c r="H946" s="261">
        <v>12095.07</v>
      </c>
      <c r="I946" s="261">
        <v>7909.14</v>
      </c>
      <c r="J946" s="261"/>
      <c r="K946" s="261">
        <v>4185.93</v>
      </c>
      <c r="L946" s="357">
        <v>9.772056684872183</v>
      </c>
      <c r="M946" s="357">
        <v>13.05</v>
      </c>
      <c r="N946" s="357" t="s">
        <v>135</v>
      </c>
      <c r="O946" s="357">
        <v>6.6268720514200687</v>
      </c>
      <c r="P946" s="262"/>
      <c r="Q946" s="262"/>
      <c r="R946" s="262">
        <v>18</v>
      </c>
    </row>
    <row r="947" spans="1:18" ht="48">
      <c r="A947" s="258">
        <v>61.14</v>
      </c>
      <c r="B947" s="251" t="s">
        <v>1614</v>
      </c>
      <c r="C947" s="259" t="s">
        <v>1615</v>
      </c>
      <c r="D947" s="260">
        <v>7660.09</v>
      </c>
      <c r="E947" s="260">
        <v>5132.3</v>
      </c>
      <c r="F947" s="260"/>
      <c r="G947" s="260">
        <v>2527.79</v>
      </c>
      <c r="H947" s="261">
        <v>83728.53</v>
      </c>
      <c r="I947" s="261">
        <v>66976.08</v>
      </c>
      <c r="J947" s="261"/>
      <c r="K947" s="261">
        <v>16752.45</v>
      </c>
      <c r="L947" s="357">
        <v>10.930489067360828</v>
      </c>
      <c r="M947" s="357">
        <v>13.05</v>
      </c>
      <c r="N947" s="357" t="s">
        <v>135</v>
      </c>
      <c r="O947" s="357">
        <v>6.627310813002663</v>
      </c>
      <c r="P947" s="262"/>
      <c r="Q947" s="262"/>
      <c r="R947" s="262">
        <v>18</v>
      </c>
    </row>
    <row r="948" spans="1:18" ht="60">
      <c r="A948" s="258">
        <v>61.140999999999998</v>
      </c>
      <c r="B948" s="251" t="s">
        <v>1616</v>
      </c>
      <c r="C948" s="259" t="s">
        <v>1617</v>
      </c>
      <c r="D948" s="260">
        <v>164.28</v>
      </c>
      <c r="E948" s="260">
        <v>164.28</v>
      </c>
      <c r="F948" s="260"/>
      <c r="G948" s="260"/>
      <c r="H948" s="261">
        <v>2143.9299999999998</v>
      </c>
      <c r="I948" s="261">
        <v>2143.9299999999998</v>
      </c>
      <c r="J948" s="261"/>
      <c r="K948" s="261"/>
      <c r="L948" s="357">
        <v>13.050462624786949</v>
      </c>
      <c r="M948" s="357">
        <v>13.05</v>
      </c>
      <c r="N948" s="357" t="s">
        <v>135</v>
      </c>
      <c r="O948" s="357" t="s">
        <v>135</v>
      </c>
      <c r="P948" s="262"/>
      <c r="Q948" s="262"/>
      <c r="R948" s="262">
        <v>18</v>
      </c>
    </row>
    <row r="949" spans="1:18" ht="48">
      <c r="A949" s="258">
        <v>61.142000000000003</v>
      </c>
      <c r="B949" s="251" t="s">
        <v>1618</v>
      </c>
      <c r="C949" s="259" t="s">
        <v>1619</v>
      </c>
      <c r="D949" s="260">
        <v>7811.81</v>
      </c>
      <c r="E949" s="260">
        <v>5914.15</v>
      </c>
      <c r="F949" s="260"/>
      <c r="G949" s="260">
        <v>1897.66</v>
      </c>
      <c r="H949" s="261">
        <v>89962.69</v>
      </c>
      <c r="I949" s="261">
        <v>77178.62</v>
      </c>
      <c r="J949" s="261"/>
      <c r="K949" s="261">
        <v>12784.07</v>
      </c>
      <c r="L949" s="357">
        <v>11.51624143444349</v>
      </c>
      <c r="M949" s="357">
        <v>13.05</v>
      </c>
      <c r="N949" s="357" t="s">
        <v>135</v>
      </c>
      <c r="O949" s="357">
        <v>6.7367547400482692</v>
      </c>
      <c r="P949" s="262"/>
      <c r="Q949" s="262"/>
      <c r="R949" s="262">
        <v>18</v>
      </c>
    </row>
    <row r="950" spans="1:18" ht="48">
      <c r="A950" s="258">
        <v>61.143000000000001</v>
      </c>
      <c r="B950" s="251" t="s">
        <v>1620</v>
      </c>
      <c r="C950" s="259" t="s">
        <v>1621</v>
      </c>
      <c r="D950" s="260">
        <v>9051.24</v>
      </c>
      <c r="E950" s="260">
        <v>6526.89</v>
      </c>
      <c r="F950" s="260"/>
      <c r="G950" s="260">
        <v>2524.35</v>
      </c>
      <c r="H950" s="261">
        <v>102217.77</v>
      </c>
      <c r="I950" s="261">
        <v>85177.04</v>
      </c>
      <c r="J950" s="261"/>
      <c r="K950" s="261">
        <v>17040.73</v>
      </c>
      <c r="L950" s="357">
        <v>11.293233855250772</v>
      </c>
      <c r="M950" s="357">
        <v>13.05</v>
      </c>
      <c r="N950" s="357" t="s">
        <v>135</v>
      </c>
      <c r="O950" s="357">
        <v>6.7505417236120193</v>
      </c>
      <c r="P950" s="262"/>
      <c r="Q950" s="262"/>
      <c r="R950" s="262">
        <v>18</v>
      </c>
    </row>
    <row r="951" spans="1:18" ht="48">
      <c r="A951" s="258">
        <v>61.143999999999998</v>
      </c>
      <c r="B951" s="251" t="s">
        <v>1622</v>
      </c>
      <c r="C951" s="259" t="s">
        <v>1623</v>
      </c>
      <c r="D951" s="260">
        <v>10012.61</v>
      </c>
      <c r="E951" s="260">
        <v>7488.26</v>
      </c>
      <c r="F951" s="260"/>
      <c r="G951" s="260">
        <v>2524.35</v>
      </c>
      <c r="H951" s="261">
        <v>114759.63</v>
      </c>
      <c r="I951" s="261">
        <v>97718.9</v>
      </c>
      <c r="J951" s="261"/>
      <c r="K951" s="261">
        <v>17040.73</v>
      </c>
      <c r="L951" s="357">
        <v>11.4615100358448</v>
      </c>
      <c r="M951" s="357">
        <v>13.05</v>
      </c>
      <c r="N951" s="357" t="s">
        <v>135</v>
      </c>
      <c r="O951" s="357">
        <v>6.7505417236120193</v>
      </c>
      <c r="P951" s="262"/>
      <c r="Q951" s="262"/>
      <c r="R951" s="262">
        <v>18</v>
      </c>
    </row>
    <row r="952" spans="1:18" ht="60">
      <c r="A952" s="258">
        <v>61.145000000000003</v>
      </c>
      <c r="B952" s="251" t="s">
        <v>1624</v>
      </c>
      <c r="C952" s="259" t="s">
        <v>1625</v>
      </c>
      <c r="D952" s="260">
        <v>220.3</v>
      </c>
      <c r="E952" s="260">
        <v>220.3</v>
      </c>
      <c r="F952" s="260"/>
      <c r="G952" s="260"/>
      <c r="H952" s="261">
        <v>2874.93</v>
      </c>
      <c r="I952" s="261">
        <v>2874.93</v>
      </c>
      <c r="J952" s="261"/>
      <c r="K952" s="261"/>
      <c r="L952" s="357">
        <v>13.050068088969585</v>
      </c>
      <c r="M952" s="357">
        <v>13.05</v>
      </c>
      <c r="N952" s="357" t="s">
        <v>135</v>
      </c>
      <c r="O952" s="357" t="s">
        <v>135</v>
      </c>
      <c r="P952" s="262"/>
      <c r="Q952" s="262"/>
      <c r="R952" s="262">
        <v>18</v>
      </c>
    </row>
    <row r="953" spans="1:18" ht="48">
      <c r="A953" s="258">
        <v>61.146000000000001</v>
      </c>
      <c r="B953" s="251" t="s">
        <v>1626</v>
      </c>
      <c r="C953" s="259" t="s">
        <v>1627</v>
      </c>
      <c r="D953" s="260">
        <v>5741</v>
      </c>
      <c r="E953" s="260">
        <v>3961.54</v>
      </c>
      <c r="F953" s="260"/>
      <c r="G953" s="260">
        <v>1779.46</v>
      </c>
      <c r="H953" s="261">
        <v>62253.55</v>
      </c>
      <c r="I953" s="261">
        <v>51697.37</v>
      </c>
      <c r="J953" s="261"/>
      <c r="K953" s="261">
        <v>10556.18</v>
      </c>
      <c r="L953" s="357">
        <v>10.843677059745689</v>
      </c>
      <c r="M953" s="357">
        <v>13.05</v>
      </c>
      <c r="N953" s="357" t="s">
        <v>135</v>
      </c>
      <c r="O953" s="357">
        <v>5.9322378699155927</v>
      </c>
      <c r="P953" s="262"/>
      <c r="Q953" s="262"/>
      <c r="R953" s="262">
        <v>18</v>
      </c>
    </row>
    <row r="954" spans="1:18" ht="48">
      <c r="A954" s="258">
        <v>61.146999999999998</v>
      </c>
      <c r="B954" s="251" t="s">
        <v>1628</v>
      </c>
      <c r="C954" s="259" t="s">
        <v>1629</v>
      </c>
      <c r="D954" s="260">
        <v>1236.1099999999999</v>
      </c>
      <c r="E954" s="260">
        <v>613.59</v>
      </c>
      <c r="F954" s="260"/>
      <c r="G954" s="260">
        <v>622.52</v>
      </c>
      <c r="H954" s="261">
        <v>11656.94</v>
      </c>
      <c r="I954" s="261">
        <v>8007.26</v>
      </c>
      <c r="J954" s="261"/>
      <c r="K954" s="261">
        <v>3649.68</v>
      </c>
      <c r="L954" s="357">
        <v>9.4303419598579428</v>
      </c>
      <c r="M954" s="357">
        <v>13.05</v>
      </c>
      <c r="N954" s="357" t="s">
        <v>135</v>
      </c>
      <c r="O954" s="357">
        <v>5.8627513975454599</v>
      </c>
      <c r="P954" s="262"/>
      <c r="Q954" s="262"/>
      <c r="R954" s="262">
        <v>18</v>
      </c>
    </row>
    <row r="955" spans="1:18" ht="48">
      <c r="A955" s="258">
        <v>61.148000000000003</v>
      </c>
      <c r="B955" s="251" t="s">
        <v>1630</v>
      </c>
      <c r="C955" s="259" t="s">
        <v>1631</v>
      </c>
      <c r="D955" s="260">
        <v>8513.57</v>
      </c>
      <c r="E955" s="260">
        <v>5650.26</v>
      </c>
      <c r="F955" s="260"/>
      <c r="G955" s="260">
        <v>2863.31</v>
      </c>
      <c r="H955" s="261">
        <v>90756.160000000003</v>
      </c>
      <c r="I955" s="261">
        <v>73734.25</v>
      </c>
      <c r="J955" s="261"/>
      <c r="K955" s="261">
        <v>17021.91</v>
      </c>
      <c r="L955" s="357">
        <v>10.660176635653434</v>
      </c>
      <c r="M955" s="357">
        <v>13.05</v>
      </c>
      <c r="N955" s="357" t="s">
        <v>135</v>
      </c>
      <c r="O955" s="357">
        <v>5.944836570263087</v>
      </c>
      <c r="P955" s="262"/>
      <c r="Q955" s="262"/>
      <c r="R955" s="262">
        <v>18</v>
      </c>
    </row>
    <row r="956" spans="1:18" ht="48">
      <c r="A956" s="263">
        <v>61.149000000000001</v>
      </c>
      <c r="B956" s="264" t="s">
        <v>1632</v>
      </c>
      <c r="C956" s="265" t="s">
        <v>1633</v>
      </c>
      <c r="D956" s="266">
        <v>1332.41</v>
      </c>
      <c r="E956" s="266">
        <v>709.89</v>
      </c>
      <c r="F956" s="266"/>
      <c r="G956" s="266">
        <v>622.52</v>
      </c>
      <c r="H956" s="267">
        <v>12913.48</v>
      </c>
      <c r="I956" s="267">
        <v>9263.7999999999993</v>
      </c>
      <c r="J956" s="267"/>
      <c r="K956" s="267">
        <v>3649.68</v>
      </c>
      <c r="L956" s="356">
        <v>9.691821586448615</v>
      </c>
      <c r="M956" s="356">
        <v>13.05</v>
      </c>
      <c r="N956" s="356" t="s">
        <v>135</v>
      </c>
      <c r="O956" s="356">
        <v>5.8627513975454599</v>
      </c>
      <c r="P956" s="268"/>
      <c r="Q956" s="268"/>
      <c r="R956" s="268">
        <v>18</v>
      </c>
    </row>
    <row r="957" spans="1:18" ht="12.75">
      <c r="A957" s="428" t="s">
        <v>1634</v>
      </c>
      <c r="B957" s="429"/>
      <c r="C957" s="429"/>
      <c r="D957" s="429"/>
      <c r="E957" s="429"/>
      <c r="F957" s="429"/>
      <c r="G957" s="429"/>
      <c r="H957" s="429"/>
      <c r="I957" s="429"/>
      <c r="J957" s="429"/>
      <c r="K957" s="429"/>
      <c r="L957" s="429"/>
      <c r="M957" s="429"/>
      <c r="N957" s="429"/>
      <c r="O957" s="429"/>
      <c r="P957" s="429"/>
      <c r="Q957" s="429"/>
      <c r="R957" s="429"/>
    </row>
    <row r="958" spans="1:18" ht="48">
      <c r="A958" s="258">
        <v>61.15</v>
      </c>
      <c r="B958" s="251" t="s">
        <v>1635</v>
      </c>
      <c r="C958" s="259" t="s">
        <v>1636</v>
      </c>
      <c r="D958" s="260">
        <v>4634.8599999999997</v>
      </c>
      <c r="E958" s="260">
        <v>3370.4</v>
      </c>
      <c r="F958" s="260"/>
      <c r="G958" s="260">
        <v>1264.46</v>
      </c>
      <c r="H958" s="261">
        <v>52365.88</v>
      </c>
      <c r="I958" s="261">
        <v>43985.29</v>
      </c>
      <c r="J958" s="261"/>
      <c r="K958" s="261">
        <v>8380.59</v>
      </c>
      <c r="L958" s="357">
        <v>11.298265751284829</v>
      </c>
      <c r="M958" s="357">
        <v>13.05</v>
      </c>
      <c r="N958" s="357" t="s">
        <v>135</v>
      </c>
      <c r="O958" s="357">
        <v>6.6278015911930783</v>
      </c>
      <c r="P958" s="262"/>
      <c r="Q958" s="262"/>
      <c r="R958" s="262">
        <v>19</v>
      </c>
    </row>
    <row r="959" spans="1:18" ht="48">
      <c r="A959" s="258">
        <v>61.151000000000003</v>
      </c>
      <c r="B959" s="251" t="s">
        <v>1637</v>
      </c>
      <c r="C959" s="259" t="s">
        <v>1638</v>
      </c>
      <c r="D959" s="260">
        <v>1072.44</v>
      </c>
      <c r="E959" s="260">
        <v>440.78</v>
      </c>
      <c r="F959" s="260"/>
      <c r="G959" s="260">
        <v>631.66</v>
      </c>
      <c r="H959" s="261">
        <v>9938.32</v>
      </c>
      <c r="I959" s="261">
        <v>5752.39</v>
      </c>
      <c r="J959" s="261"/>
      <c r="K959" s="261">
        <v>4185.93</v>
      </c>
      <c r="L959" s="357">
        <v>9.267017269031367</v>
      </c>
      <c r="M959" s="357">
        <v>13.05</v>
      </c>
      <c r="N959" s="357" t="s">
        <v>135</v>
      </c>
      <c r="O959" s="357">
        <v>6.6268720514200687</v>
      </c>
      <c r="P959" s="262"/>
      <c r="Q959" s="262"/>
      <c r="R959" s="262">
        <v>19</v>
      </c>
    </row>
    <row r="960" spans="1:18" ht="60">
      <c r="A960" s="258">
        <v>61.152000000000001</v>
      </c>
      <c r="B960" s="251" t="s">
        <v>1639</v>
      </c>
      <c r="C960" s="259" t="s">
        <v>1640</v>
      </c>
      <c r="D960" s="260">
        <v>7956.17</v>
      </c>
      <c r="E960" s="260">
        <v>5428.38</v>
      </c>
      <c r="F960" s="260"/>
      <c r="G960" s="260">
        <v>2527.79</v>
      </c>
      <c r="H960" s="261">
        <v>87593.71</v>
      </c>
      <c r="I960" s="261">
        <v>70841.259999999995</v>
      </c>
      <c r="J960" s="261"/>
      <c r="K960" s="261">
        <v>16752.45</v>
      </c>
      <c r="L960" s="357">
        <v>11.009532224675944</v>
      </c>
      <c r="M960" s="357">
        <v>13.05</v>
      </c>
      <c r="N960" s="357" t="s">
        <v>135</v>
      </c>
      <c r="O960" s="357">
        <v>6.627310813002663</v>
      </c>
      <c r="P960" s="262"/>
      <c r="Q960" s="262"/>
      <c r="R960" s="262">
        <v>19</v>
      </c>
    </row>
    <row r="961" spans="1:18" ht="48">
      <c r="A961" s="258">
        <v>61.152999999999999</v>
      </c>
      <c r="B961" s="251" t="s">
        <v>1641</v>
      </c>
      <c r="C961" s="259" t="s">
        <v>1642</v>
      </c>
      <c r="D961" s="260">
        <v>1269.8599999999999</v>
      </c>
      <c r="E961" s="260">
        <v>638.20000000000005</v>
      </c>
      <c r="F961" s="260"/>
      <c r="G961" s="260">
        <v>631.66</v>
      </c>
      <c r="H961" s="261">
        <v>12514.62</v>
      </c>
      <c r="I961" s="261">
        <v>8328.69</v>
      </c>
      <c r="J961" s="261"/>
      <c r="K961" s="261">
        <v>4185.93</v>
      </c>
      <c r="L961" s="357">
        <v>9.8551178870111684</v>
      </c>
      <c r="M961" s="357">
        <v>13.05</v>
      </c>
      <c r="N961" s="357" t="s">
        <v>135</v>
      </c>
      <c r="O961" s="357">
        <v>6.6268720514200687</v>
      </c>
      <c r="P961" s="262"/>
      <c r="Q961" s="262"/>
      <c r="R961" s="262">
        <v>19</v>
      </c>
    </row>
    <row r="962" spans="1:18" ht="48">
      <c r="A962" s="258">
        <v>61.154000000000003</v>
      </c>
      <c r="B962" s="251" t="s">
        <v>1643</v>
      </c>
      <c r="C962" s="259" t="s">
        <v>1644</v>
      </c>
      <c r="D962" s="260">
        <v>8286.69</v>
      </c>
      <c r="E962" s="260">
        <v>5758.9</v>
      </c>
      <c r="F962" s="260"/>
      <c r="G962" s="260">
        <v>2527.79</v>
      </c>
      <c r="H962" s="261">
        <v>91905.64</v>
      </c>
      <c r="I962" s="261">
        <v>75153.19</v>
      </c>
      <c r="J962" s="261"/>
      <c r="K962" s="261">
        <v>16752.45</v>
      </c>
      <c r="L962" s="357">
        <v>11.090753968110306</v>
      </c>
      <c r="M962" s="357">
        <v>13.05</v>
      </c>
      <c r="N962" s="357" t="s">
        <v>135</v>
      </c>
      <c r="O962" s="357">
        <v>6.627310813002663</v>
      </c>
      <c r="P962" s="262"/>
      <c r="Q962" s="262"/>
      <c r="R962" s="262">
        <v>19</v>
      </c>
    </row>
    <row r="963" spans="1:18" ht="60">
      <c r="A963" s="258">
        <v>61.155000000000001</v>
      </c>
      <c r="B963" s="251" t="s">
        <v>1645</v>
      </c>
      <c r="C963" s="259" t="s">
        <v>1646</v>
      </c>
      <c r="D963" s="260">
        <v>167.61</v>
      </c>
      <c r="E963" s="260">
        <v>167.61</v>
      </c>
      <c r="F963" s="260"/>
      <c r="G963" s="260"/>
      <c r="H963" s="261">
        <v>2187.39</v>
      </c>
      <c r="I963" s="261">
        <v>2187.39</v>
      </c>
      <c r="J963" s="261"/>
      <c r="K963" s="261"/>
      <c r="L963" s="357">
        <v>13.050474315374975</v>
      </c>
      <c r="M963" s="357">
        <v>13.05</v>
      </c>
      <c r="N963" s="357" t="s">
        <v>135</v>
      </c>
      <c r="O963" s="357" t="s">
        <v>135</v>
      </c>
      <c r="P963" s="262"/>
      <c r="Q963" s="262"/>
      <c r="R963" s="262">
        <v>19</v>
      </c>
    </row>
    <row r="964" spans="1:18" ht="48">
      <c r="A964" s="258">
        <v>61.155999999999999</v>
      </c>
      <c r="B964" s="251" t="s">
        <v>1647</v>
      </c>
      <c r="C964" s="259" t="s">
        <v>1648</v>
      </c>
      <c r="D964" s="260">
        <v>8185.88</v>
      </c>
      <c r="E964" s="260">
        <v>6288.22</v>
      </c>
      <c r="F964" s="260"/>
      <c r="G964" s="260">
        <v>1897.66</v>
      </c>
      <c r="H964" s="261">
        <v>94844.2</v>
      </c>
      <c r="I964" s="261">
        <v>82060.13</v>
      </c>
      <c r="J964" s="261"/>
      <c r="K964" s="261">
        <v>12784.07</v>
      </c>
      <c r="L964" s="357">
        <v>11.586316926219293</v>
      </c>
      <c r="M964" s="357">
        <v>13.05</v>
      </c>
      <c r="N964" s="357" t="s">
        <v>135</v>
      </c>
      <c r="O964" s="357">
        <v>6.7367547400482692</v>
      </c>
      <c r="P964" s="262"/>
      <c r="Q964" s="262"/>
      <c r="R964" s="262">
        <v>19</v>
      </c>
    </row>
    <row r="965" spans="1:18" ht="48">
      <c r="A965" s="258">
        <v>61.156999999999996</v>
      </c>
      <c r="B965" s="251" t="s">
        <v>1649</v>
      </c>
      <c r="C965" s="259" t="s">
        <v>1650</v>
      </c>
      <c r="D965" s="260">
        <v>9414.2999999999993</v>
      </c>
      <c r="E965" s="260">
        <v>6889.95</v>
      </c>
      <c r="F965" s="260"/>
      <c r="G965" s="260">
        <v>2524.35</v>
      </c>
      <c r="H965" s="261">
        <v>106955.84</v>
      </c>
      <c r="I965" s="261">
        <v>89915.11</v>
      </c>
      <c r="J965" s="261"/>
      <c r="K965" s="261">
        <v>17040.73</v>
      </c>
      <c r="L965" s="357">
        <v>11.360997631263078</v>
      </c>
      <c r="M965" s="357">
        <v>13.05</v>
      </c>
      <c r="N965" s="357" t="s">
        <v>135</v>
      </c>
      <c r="O965" s="357">
        <v>6.7505417236120193</v>
      </c>
      <c r="P965" s="262"/>
      <c r="Q965" s="262"/>
      <c r="R965" s="262">
        <v>19</v>
      </c>
    </row>
    <row r="966" spans="1:18" ht="48">
      <c r="A966" s="258">
        <v>61.158000000000001</v>
      </c>
      <c r="B966" s="251" t="s">
        <v>1651</v>
      </c>
      <c r="C966" s="259" t="s">
        <v>1652</v>
      </c>
      <c r="D966" s="260">
        <v>10707.41</v>
      </c>
      <c r="E966" s="260">
        <v>8183.06</v>
      </c>
      <c r="F966" s="260"/>
      <c r="G966" s="260">
        <v>2524.35</v>
      </c>
      <c r="H966" s="261">
        <v>123826.5</v>
      </c>
      <c r="I966" s="261">
        <v>106785.77</v>
      </c>
      <c r="J966" s="261"/>
      <c r="K966" s="261">
        <v>17040.73</v>
      </c>
      <c r="L966" s="357">
        <v>11.564561364512986</v>
      </c>
      <c r="M966" s="357">
        <v>13.05</v>
      </c>
      <c r="N966" s="357" t="s">
        <v>135</v>
      </c>
      <c r="O966" s="357">
        <v>6.7505417236120193</v>
      </c>
      <c r="P966" s="262"/>
      <c r="Q966" s="262"/>
      <c r="R966" s="262">
        <v>19</v>
      </c>
    </row>
    <row r="967" spans="1:18" ht="60">
      <c r="A967" s="258">
        <v>61.158999999999999</v>
      </c>
      <c r="B967" s="251" t="s">
        <v>1653</v>
      </c>
      <c r="C967" s="259" t="s">
        <v>1654</v>
      </c>
      <c r="D967" s="260">
        <v>224.8</v>
      </c>
      <c r="E967" s="260">
        <v>224.8</v>
      </c>
      <c r="F967" s="260"/>
      <c r="G967" s="260"/>
      <c r="H967" s="261">
        <v>2933.6</v>
      </c>
      <c r="I967" s="261">
        <v>2933.6</v>
      </c>
      <c r="J967" s="261"/>
      <c r="K967" s="261"/>
      <c r="L967" s="357">
        <v>13.049822064056938</v>
      </c>
      <c r="M967" s="357">
        <v>13.05</v>
      </c>
      <c r="N967" s="357" t="s">
        <v>135</v>
      </c>
      <c r="O967" s="357" t="s">
        <v>135</v>
      </c>
      <c r="P967" s="262"/>
      <c r="Q967" s="262"/>
      <c r="R967" s="262">
        <v>19</v>
      </c>
    </row>
    <row r="968" spans="1:18" ht="48">
      <c r="A968" s="258">
        <v>61.16</v>
      </c>
      <c r="B968" s="251" t="s">
        <v>1655</v>
      </c>
      <c r="C968" s="259" t="s">
        <v>1656</v>
      </c>
      <c r="D968" s="260">
        <v>5809.67</v>
      </c>
      <c r="E968" s="260">
        <v>4030.21</v>
      </c>
      <c r="F968" s="260"/>
      <c r="G968" s="260">
        <v>1779.46</v>
      </c>
      <c r="H968" s="261">
        <v>63149.760000000002</v>
      </c>
      <c r="I968" s="261">
        <v>52593.58</v>
      </c>
      <c r="J968" s="261"/>
      <c r="K968" s="261">
        <v>10556.18</v>
      </c>
      <c r="L968" s="357">
        <v>10.869767129630427</v>
      </c>
      <c r="M968" s="357">
        <v>13.05</v>
      </c>
      <c r="N968" s="357" t="s">
        <v>135</v>
      </c>
      <c r="O968" s="357">
        <v>5.9322378699155927</v>
      </c>
      <c r="P968" s="262"/>
      <c r="Q968" s="262"/>
      <c r="R968" s="262">
        <v>19</v>
      </c>
    </row>
    <row r="969" spans="1:18" ht="48">
      <c r="A969" s="258">
        <v>61.161000000000001</v>
      </c>
      <c r="B969" s="251" t="s">
        <v>1657</v>
      </c>
      <c r="C969" s="259" t="s">
        <v>1658</v>
      </c>
      <c r="D969" s="260">
        <v>1227.79</v>
      </c>
      <c r="E969" s="260">
        <v>605.27</v>
      </c>
      <c r="F969" s="260"/>
      <c r="G969" s="260">
        <v>622.52</v>
      </c>
      <c r="H969" s="261">
        <v>11548.4</v>
      </c>
      <c r="I969" s="261">
        <v>7898.72</v>
      </c>
      <c r="J969" s="261"/>
      <c r="K969" s="261">
        <v>3649.68</v>
      </c>
      <c r="L969" s="357">
        <v>9.4058430187572792</v>
      </c>
      <c r="M969" s="357">
        <v>13.05</v>
      </c>
      <c r="N969" s="357" t="s">
        <v>135</v>
      </c>
      <c r="O969" s="357">
        <v>5.8627513975454599</v>
      </c>
      <c r="P969" s="262"/>
      <c r="Q969" s="262"/>
      <c r="R969" s="262">
        <v>19</v>
      </c>
    </row>
    <row r="970" spans="1:18" ht="48">
      <c r="A970" s="258">
        <v>61.161999999999999</v>
      </c>
      <c r="B970" s="251" t="s">
        <v>1659</v>
      </c>
      <c r="C970" s="259" t="s">
        <v>1660</v>
      </c>
      <c r="D970" s="260">
        <v>8853.2900000000009</v>
      </c>
      <c r="E970" s="260">
        <v>5989.98</v>
      </c>
      <c r="F970" s="260"/>
      <c r="G970" s="260">
        <v>2863.31</v>
      </c>
      <c r="H970" s="261">
        <v>95189.32</v>
      </c>
      <c r="I970" s="261">
        <v>78167.41</v>
      </c>
      <c r="J970" s="261"/>
      <c r="K970" s="261">
        <v>17021.91</v>
      </c>
      <c r="L970" s="357">
        <v>10.751858348704268</v>
      </c>
      <c r="M970" s="357">
        <v>13.05</v>
      </c>
      <c r="N970" s="357" t="s">
        <v>135</v>
      </c>
      <c r="O970" s="357">
        <v>5.944836570263087</v>
      </c>
      <c r="P970" s="262"/>
      <c r="Q970" s="262"/>
      <c r="R970" s="262">
        <v>19</v>
      </c>
    </row>
    <row r="971" spans="1:18" ht="48">
      <c r="A971" s="263">
        <v>61.162999999999997</v>
      </c>
      <c r="B971" s="264" t="s">
        <v>1661</v>
      </c>
      <c r="C971" s="265" t="s">
        <v>1662</v>
      </c>
      <c r="D971" s="266">
        <v>1321.44</v>
      </c>
      <c r="E971" s="266">
        <v>698.92</v>
      </c>
      <c r="F971" s="266"/>
      <c r="G971" s="266">
        <v>622.52</v>
      </c>
      <c r="H971" s="267">
        <v>12770.33</v>
      </c>
      <c r="I971" s="267">
        <v>9120.65</v>
      </c>
      <c r="J971" s="267"/>
      <c r="K971" s="267">
        <v>3649.68</v>
      </c>
      <c r="L971" s="356">
        <v>9.6639499334059806</v>
      </c>
      <c r="M971" s="356">
        <v>13.05</v>
      </c>
      <c r="N971" s="356" t="s">
        <v>135</v>
      </c>
      <c r="O971" s="356">
        <v>5.8627513975454599</v>
      </c>
      <c r="P971" s="268"/>
      <c r="Q971" s="268"/>
      <c r="R971" s="268">
        <v>19</v>
      </c>
    </row>
    <row r="972" spans="1:18" ht="12.75">
      <c r="A972" s="428" t="s">
        <v>1663</v>
      </c>
      <c r="B972" s="429"/>
      <c r="C972" s="429"/>
      <c r="D972" s="429"/>
      <c r="E972" s="429"/>
      <c r="F972" s="429"/>
      <c r="G972" s="429"/>
      <c r="H972" s="429"/>
      <c r="I972" s="429"/>
      <c r="J972" s="429"/>
      <c r="K972" s="429"/>
      <c r="L972" s="429"/>
      <c r="M972" s="429"/>
      <c r="N972" s="429"/>
      <c r="O972" s="429"/>
      <c r="P972" s="429"/>
      <c r="Q972" s="429"/>
      <c r="R972" s="429"/>
    </row>
    <row r="973" spans="1:18" ht="36">
      <c r="A973" s="258">
        <v>61.164000000000001</v>
      </c>
      <c r="B973" s="251" t="s">
        <v>1664</v>
      </c>
      <c r="C973" s="259" t="s">
        <v>1665</v>
      </c>
      <c r="D973" s="260">
        <v>6120.2</v>
      </c>
      <c r="E973" s="260">
        <v>3589.74</v>
      </c>
      <c r="F973" s="260">
        <v>2.67</v>
      </c>
      <c r="G973" s="260">
        <v>2527.79</v>
      </c>
      <c r="H973" s="261">
        <v>63610.7</v>
      </c>
      <c r="I973" s="261">
        <v>46847.72</v>
      </c>
      <c r="J973" s="261">
        <v>10.53</v>
      </c>
      <c r="K973" s="261">
        <v>16752.45</v>
      </c>
      <c r="L973" s="357">
        <v>10.393565569752623</v>
      </c>
      <c r="M973" s="357">
        <v>13.05</v>
      </c>
      <c r="N973" s="357">
        <v>3.9438202247191012</v>
      </c>
      <c r="O973" s="357">
        <v>6.627310813002663</v>
      </c>
      <c r="P973" s="262"/>
      <c r="Q973" s="262"/>
      <c r="R973" s="262">
        <v>20</v>
      </c>
    </row>
    <row r="974" spans="1:18" ht="36">
      <c r="A974" s="258">
        <v>61.164999999999999</v>
      </c>
      <c r="B974" s="251" t="s">
        <v>1666</v>
      </c>
      <c r="C974" s="259" t="s">
        <v>1667</v>
      </c>
      <c r="D974" s="260">
        <v>6845.69</v>
      </c>
      <c r="E974" s="260">
        <v>4317.8999999999996</v>
      </c>
      <c r="F974" s="260"/>
      <c r="G974" s="260">
        <v>2527.79</v>
      </c>
      <c r="H974" s="261">
        <v>73102.990000000005</v>
      </c>
      <c r="I974" s="261">
        <v>56350.54</v>
      </c>
      <c r="J974" s="261"/>
      <c r="K974" s="261">
        <v>16752.45</v>
      </c>
      <c r="L974" s="357">
        <v>10.678688342592201</v>
      </c>
      <c r="M974" s="357">
        <v>13.05</v>
      </c>
      <c r="N974" s="357" t="s">
        <v>135</v>
      </c>
      <c r="O974" s="357">
        <v>6.627310813002663</v>
      </c>
      <c r="P974" s="262"/>
      <c r="Q974" s="262"/>
      <c r="R974" s="262">
        <v>20</v>
      </c>
    </row>
    <row r="975" spans="1:18" ht="36">
      <c r="A975" s="258">
        <v>61.165999999999997</v>
      </c>
      <c r="B975" s="251" t="s">
        <v>1668</v>
      </c>
      <c r="C975" s="259" t="s">
        <v>1669</v>
      </c>
      <c r="D975" s="260">
        <v>6699.17</v>
      </c>
      <c r="E975" s="260">
        <v>4171.38</v>
      </c>
      <c r="F975" s="260"/>
      <c r="G975" s="260">
        <v>2527.79</v>
      </c>
      <c r="H975" s="261">
        <v>71190.84</v>
      </c>
      <c r="I975" s="261">
        <v>54438.39</v>
      </c>
      <c r="J975" s="261"/>
      <c r="K975" s="261">
        <v>16752.45</v>
      </c>
      <c r="L975" s="357">
        <v>10.626814963644749</v>
      </c>
      <c r="M975" s="357">
        <v>13.05</v>
      </c>
      <c r="N975" s="357" t="s">
        <v>135</v>
      </c>
      <c r="O975" s="357">
        <v>6.627310813002663</v>
      </c>
      <c r="P975" s="262"/>
      <c r="Q975" s="262"/>
      <c r="R975" s="262">
        <v>20</v>
      </c>
    </row>
    <row r="976" spans="1:18" ht="36">
      <c r="A976" s="258">
        <v>61.167000000000002</v>
      </c>
      <c r="B976" s="251" t="s">
        <v>1670</v>
      </c>
      <c r="C976" s="259" t="s">
        <v>1671</v>
      </c>
      <c r="D976" s="260">
        <v>11124.62</v>
      </c>
      <c r="E976" s="260">
        <v>8591.86</v>
      </c>
      <c r="F976" s="260">
        <v>2.67</v>
      </c>
      <c r="G976" s="260">
        <v>2530.09</v>
      </c>
      <c r="H976" s="261">
        <v>129211.5</v>
      </c>
      <c r="I976" s="261">
        <v>112122.19</v>
      </c>
      <c r="J976" s="261">
        <v>10.53</v>
      </c>
      <c r="K976" s="261">
        <v>17078.78</v>
      </c>
      <c r="L976" s="357">
        <v>11.614913588059636</v>
      </c>
      <c r="M976" s="357">
        <v>13.05</v>
      </c>
      <c r="N976" s="357">
        <v>3.9438202247191012</v>
      </c>
      <c r="O976" s="357">
        <v>6.7502658008213139</v>
      </c>
      <c r="P976" s="262"/>
      <c r="Q976" s="262"/>
      <c r="R976" s="262">
        <v>20</v>
      </c>
    </row>
    <row r="977" spans="1:18" ht="36">
      <c r="A977" s="258">
        <v>61.167999999999999</v>
      </c>
      <c r="B977" s="251" t="s">
        <v>1672</v>
      </c>
      <c r="C977" s="259" t="s">
        <v>1673</v>
      </c>
      <c r="D977" s="260">
        <v>13097.94</v>
      </c>
      <c r="E977" s="260">
        <v>10567.85</v>
      </c>
      <c r="F977" s="260"/>
      <c r="G977" s="260">
        <v>2530.09</v>
      </c>
      <c r="H977" s="261">
        <v>154987.32</v>
      </c>
      <c r="I977" s="261">
        <v>137908.54</v>
      </c>
      <c r="J977" s="261"/>
      <c r="K977" s="261">
        <v>17078.78</v>
      </c>
      <c r="L977" s="357">
        <v>11.83295388435128</v>
      </c>
      <c r="M977" s="357">
        <v>13.05</v>
      </c>
      <c r="N977" s="357" t="s">
        <v>135</v>
      </c>
      <c r="O977" s="357">
        <v>6.7502658008213139</v>
      </c>
      <c r="P977" s="262"/>
      <c r="Q977" s="262"/>
      <c r="R977" s="262">
        <v>20</v>
      </c>
    </row>
    <row r="978" spans="1:18" ht="36">
      <c r="A978" s="258">
        <v>61.168999999999997</v>
      </c>
      <c r="B978" s="251" t="s">
        <v>1674</v>
      </c>
      <c r="C978" s="259" t="s">
        <v>1675</v>
      </c>
      <c r="D978" s="260">
        <v>13097.94</v>
      </c>
      <c r="E978" s="260">
        <v>10567.85</v>
      </c>
      <c r="F978" s="260"/>
      <c r="G978" s="260">
        <v>2530.09</v>
      </c>
      <c r="H978" s="261">
        <v>154987.32</v>
      </c>
      <c r="I978" s="261">
        <v>137908.54</v>
      </c>
      <c r="J978" s="261"/>
      <c r="K978" s="261">
        <v>17078.78</v>
      </c>
      <c r="L978" s="357">
        <v>11.83295388435128</v>
      </c>
      <c r="M978" s="357">
        <v>13.05</v>
      </c>
      <c r="N978" s="357" t="s">
        <v>135</v>
      </c>
      <c r="O978" s="357">
        <v>6.7502658008213139</v>
      </c>
      <c r="P978" s="262"/>
      <c r="Q978" s="262"/>
      <c r="R978" s="262">
        <v>20</v>
      </c>
    </row>
    <row r="979" spans="1:18" ht="36">
      <c r="A979" s="258">
        <v>61.17</v>
      </c>
      <c r="B979" s="251" t="s">
        <v>1676</v>
      </c>
      <c r="C979" s="259" t="s">
        <v>1677</v>
      </c>
      <c r="D979" s="260">
        <v>5909.28</v>
      </c>
      <c r="E979" s="260">
        <v>3196.8</v>
      </c>
      <c r="F979" s="260">
        <v>2.67</v>
      </c>
      <c r="G979" s="260">
        <v>2709.81</v>
      </c>
      <c r="H979" s="261">
        <v>59663.22</v>
      </c>
      <c r="I979" s="261">
        <v>41719.68</v>
      </c>
      <c r="J979" s="261">
        <v>10.53</v>
      </c>
      <c r="K979" s="261">
        <v>17933.009999999998</v>
      </c>
      <c r="L979" s="357">
        <v>10.09652952643977</v>
      </c>
      <c r="M979" s="357">
        <v>13.05</v>
      </c>
      <c r="N979" s="357">
        <v>3.9438202247191012</v>
      </c>
      <c r="O979" s="357">
        <v>6.6178108428266187</v>
      </c>
      <c r="P979" s="262"/>
      <c r="Q979" s="262"/>
      <c r="R979" s="262">
        <v>20</v>
      </c>
    </row>
    <row r="980" spans="1:18" ht="36">
      <c r="A980" s="258">
        <v>61.170999999999999</v>
      </c>
      <c r="B980" s="251" t="s">
        <v>1678</v>
      </c>
      <c r="C980" s="259" t="s">
        <v>1679</v>
      </c>
      <c r="D980" s="260">
        <v>7214.19</v>
      </c>
      <c r="E980" s="260">
        <v>4504.38</v>
      </c>
      <c r="F980" s="260"/>
      <c r="G980" s="260">
        <v>2709.81</v>
      </c>
      <c r="H980" s="261">
        <v>76717.2</v>
      </c>
      <c r="I980" s="261">
        <v>58784.19</v>
      </c>
      <c r="J980" s="261"/>
      <c r="K980" s="261">
        <v>17933.009999999998</v>
      </c>
      <c r="L980" s="357">
        <v>10.634208414250249</v>
      </c>
      <c r="M980" s="357">
        <v>13.05</v>
      </c>
      <c r="N980" s="357" t="s">
        <v>135</v>
      </c>
      <c r="O980" s="357">
        <v>6.6178108428266187</v>
      </c>
      <c r="P980" s="262"/>
      <c r="Q980" s="262"/>
      <c r="R980" s="262">
        <v>20</v>
      </c>
    </row>
    <row r="981" spans="1:18" ht="36">
      <c r="A981" s="263">
        <v>61.171999999999997</v>
      </c>
      <c r="B981" s="264" t="s">
        <v>1680</v>
      </c>
      <c r="C981" s="265" t="s">
        <v>1681</v>
      </c>
      <c r="D981" s="266">
        <v>6386.13</v>
      </c>
      <c r="E981" s="266">
        <v>3676.32</v>
      </c>
      <c r="F981" s="266"/>
      <c r="G981" s="266">
        <v>2709.81</v>
      </c>
      <c r="H981" s="267">
        <v>65910.64</v>
      </c>
      <c r="I981" s="267">
        <v>47977.63</v>
      </c>
      <c r="J981" s="267"/>
      <c r="K981" s="267">
        <v>17933.009999999998</v>
      </c>
      <c r="L981" s="356">
        <v>10.320904835949158</v>
      </c>
      <c r="M981" s="356">
        <v>13.05</v>
      </c>
      <c r="N981" s="356" t="s">
        <v>135</v>
      </c>
      <c r="O981" s="356">
        <v>6.6178108428266187</v>
      </c>
      <c r="P981" s="268"/>
      <c r="Q981" s="268"/>
      <c r="R981" s="268">
        <v>20</v>
      </c>
    </row>
    <row r="982" spans="1:18" ht="12.75">
      <c r="A982" s="428" t="s">
        <v>1682</v>
      </c>
      <c r="B982" s="429"/>
      <c r="C982" s="429"/>
      <c r="D982" s="429"/>
      <c r="E982" s="429"/>
      <c r="F982" s="429"/>
      <c r="G982" s="429"/>
      <c r="H982" s="429"/>
      <c r="I982" s="429"/>
      <c r="J982" s="429"/>
      <c r="K982" s="429"/>
      <c r="L982" s="429"/>
      <c r="M982" s="429"/>
      <c r="N982" s="429"/>
      <c r="O982" s="429"/>
      <c r="P982" s="429"/>
      <c r="Q982" s="429"/>
      <c r="R982" s="429"/>
    </row>
    <row r="983" spans="1:18" ht="36">
      <c r="A983" s="258">
        <v>61.173000000000002</v>
      </c>
      <c r="B983" s="251" t="s">
        <v>1683</v>
      </c>
      <c r="C983" s="259" t="s">
        <v>1684</v>
      </c>
      <c r="D983" s="260">
        <v>6848.36</v>
      </c>
      <c r="E983" s="260">
        <v>4317.8999999999996</v>
      </c>
      <c r="F983" s="260">
        <v>2.67</v>
      </c>
      <c r="G983" s="260">
        <v>2527.79</v>
      </c>
      <c r="H983" s="261">
        <v>73113.52</v>
      </c>
      <c r="I983" s="261">
        <v>56350.54</v>
      </c>
      <c r="J983" s="261">
        <v>10.53</v>
      </c>
      <c r="K983" s="261">
        <v>16752.45</v>
      </c>
      <c r="L983" s="357">
        <v>10.676062590167573</v>
      </c>
      <c r="M983" s="357">
        <v>13.05</v>
      </c>
      <c r="N983" s="357">
        <v>3.9438202247191012</v>
      </c>
      <c r="O983" s="357">
        <v>6.627310813002663</v>
      </c>
      <c r="P983" s="262"/>
      <c r="Q983" s="262"/>
      <c r="R983" s="262">
        <v>21</v>
      </c>
    </row>
    <row r="984" spans="1:18" ht="36">
      <c r="A984" s="258">
        <v>61.173999999999999</v>
      </c>
      <c r="B984" s="251" t="s">
        <v>1685</v>
      </c>
      <c r="C984" s="259" t="s">
        <v>1686</v>
      </c>
      <c r="D984" s="260">
        <v>7760.33</v>
      </c>
      <c r="E984" s="260">
        <v>5232.54</v>
      </c>
      <c r="F984" s="260"/>
      <c r="G984" s="260">
        <v>2527.79</v>
      </c>
      <c r="H984" s="261">
        <v>85039.45</v>
      </c>
      <c r="I984" s="261">
        <v>68287</v>
      </c>
      <c r="J984" s="261"/>
      <c r="K984" s="261">
        <v>16752.45</v>
      </c>
      <c r="L984" s="357">
        <v>10.958226003275634</v>
      </c>
      <c r="M984" s="357">
        <v>13.05</v>
      </c>
      <c r="N984" s="357" t="s">
        <v>135</v>
      </c>
      <c r="O984" s="357">
        <v>6.627310813002663</v>
      </c>
      <c r="P984" s="262"/>
      <c r="Q984" s="262"/>
      <c r="R984" s="262">
        <v>21</v>
      </c>
    </row>
    <row r="985" spans="1:18" ht="36">
      <c r="A985" s="258">
        <v>61.174999999999997</v>
      </c>
      <c r="B985" s="251" t="s">
        <v>1687</v>
      </c>
      <c r="C985" s="259" t="s">
        <v>1688</v>
      </c>
      <c r="D985" s="260">
        <v>7573.85</v>
      </c>
      <c r="E985" s="260">
        <v>5046.0600000000004</v>
      </c>
      <c r="F985" s="260"/>
      <c r="G985" s="260">
        <v>2527.79</v>
      </c>
      <c r="H985" s="261">
        <v>82605.81</v>
      </c>
      <c r="I985" s="261">
        <v>65853.36</v>
      </c>
      <c r="J985" s="261"/>
      <c r="K985" s="261">
        <v>16752.45</v>
      </c>
      <c r="L985" s="357">
        <v>10.906713230391412</v>
      </c>
      <c r="M985" s="357">
        <v>13.05</v>
      </c>
      <c r="N985" s="357" t="s">
        <v>135</v>
      </c>
      <c r="O985" s="357">
        <v>6.627310813002663</v>
      </c>
      <c r="P985" s="262"/>
      <c r="Q985" s="262"/>
      <c r="R985" s="262">
        <v>21</v>
      </c>
    </row>
    <row r="986" spans="1:18" ht="36">
      <c r="A986" s="258">
        <v>61.176000000000002</v>
      </c>
      <c r="B986" s="251" t="s">
        <v>1689</v>
      </c>
      <c r="C986" s="259" t="s">
        <v>1690</v>
      </c>
      <c r="D986" s="260">
        <v>13100.61</v>
      </c>
      <c r="E986" s="260">
        <v>10567.85</v>
      </c>
      <c r="F986" s="260">
        <v>2.67</v>
      </c>
      <c r="G986" s="260">
        <v>2530.09</v>
      </c>
      <c r="H986" s="261">
        <v>154997.85</v>
      </c>
      <c r="I986" s="261">
        <v>137908.54</v>
      </c>
      <c r="J986" s="261">
        <v>10.53</v>
      </c>
      <c r="K986" s="261">
        <v>17078.78</v>
      </c>
      <c r="L986" s="357">
        <v>11.831346021292138</v>
      </c>
      <c r="M986" s="357">
        <v>13.05</v>
      </c>
      <c r="N986" s="357">
        <v>3.9438202247191012</v>
      </c>
      <c r="O986" s="357">
        <v>6.7502658008213139</v>
      </c>
      <c r="P986" s="262"/>
      <c r="Q986" s="262"/>
      <c r="R986" s="262">
        <v>21</v>
      </c>
    </row>
    <row r="987" spans="1:18" ht="36">
      <c r="A987" s="258">
        <v>61.177</v>
      </c>
      <c r="B987" s="251" t="s">
        <v>1691</v>
      </c>
      <c r="C987" s="259" t="s">
        <v>1692</v>
      </c>
      <c r="D987" s="260">
        <v>15583.1</v>
      </c>
      <c r="E987" s="260">
        <v>13053.01</v>
      </c>
      <c r="F987" s="260"/>
      <c r="G987" s="260">
        <v>2530.09</v>
      </c>
      <c r="H987" s="261">
        <v>187418.26</v>
      </c>
      <c r="I987" s="261">
        <v>170339.48</v>
      </c>
      <c r="J987" s="261"/>
      <c r="K987" s="261">
        <v>17078.78</v>
      </c>
      <c r="L987" s="357">
        <v>12.027020297630125</v>
      </c>
      <c r="M987" s="357">
        <v>13.05</v>
      </c>
      <c r="N987" s="357" t="s">
        <v>135</v>
      </c>
      <c r="O987" s="357">
        <v>6.7502658008213139</v>
      </c>
      <c r="P987" s="262"/>
      <c r="Q987" s="262"/>
      <c r="R987" s="262">
        <v>21</v>
      </c>
    </row>
    <row r="988" spans="1:18" ht="36">
      <c r="A988" s="258">
        <v>61.177999999999997</v>
      </c>
      <c r="B988" s="251" t="s">
        <v>1693</v>
      </c>
      <c r="C988" s="259" t="s">
        <v>1694</v>
      </c>
      <c r="D988" s="260">
        <v>15583.1</v>
      </c>
      <c r="E988" s="260">
        <v>13053.01</v>
      </c>
      <c r="F988" s="260"/>
      <c r="G988" s="260">
        <v>2530.09</v>
      </c>
      <c r="H988" s="261">
        <v>187418.26</v>
      </c>
      <c r="I988" s="261">
        <v>170339.48</v>
      </c>
      <c r="J988" s="261"/>
      <c r="K988" s="261">
        <v>17078.78</v>
      </c>
      <c r="L988" s="357">
        <v>12.027020297630125</v>
      </c>
      <c r="M988" s="357">
        <v>13.05</v>
      </c>
      <c r="N988" s="357" t="s">
        <v>135</v>
      </c>
      <c r="O988" s="357">
        <v>6.7502658008213139</v>
      </c>
      <c r="P988" s="262"/>
      <c r="Q988" s="262"/>
      <c r="R988" s="262">
        <v>21</v>
      </c>
    </row>
    <row r="989" spans="1:18" ht="36">
      <c r="A989" s="258">
        <v>61.179000000000002</v>
      </c>
      <c r="B989" s="251" t="s">
        <v>1695</v>
      </c>
      <c r="C989" s="259" t="s">
        <v>1696</v>
      </c>
      <c r="D989" s="260">
        <v>6458.73</v>
      </c>
      <c r="E989" s="260">
        <v>3746.25</v>
      </c>
      <c r="F989" s="260">
        <v>2.67</v>
      </c>
      <c r="G989" s="260">
        <v>2709.81</v>
      </c>
      <c r="H989" s="261">
        <v>66833.789999999994</v>
      </c>
      <c r="I989" s="261">
        <v>48890.25</v>
      </c>
      <c r="J989" s="261">
        <v>10.53</v>
      </c>
      <c r="K989" s="261">
        <v>17933.009999999998</v>
      </c>
      <c r="L989" s="357">
        <v>10.34782224988504</v>
      </c>
      <c r="M989" s="357">
        <v>13.05</v>
      </c>
      <c r="N989" s="357">
        <v>3.9438202247191012</v>
      </c>
      <c r="O989" s="357">
        <v>6.6178108428266187</v>
      </c>
      <c r="P989" s="262"/>
      <c r="Q989" s="262"/>
      <c r="R989" s="262">
        <v>21</v>
      </c>
    </row>
    <row r="990" spans="1:18" ht="36">
      <c r="A990" s="258">
        <v>61.18</v>
      </c>
      <c r="B990" s="251" t="s">
        <v>1697</v>
      </c>
      <c r="C990" s="259" t="s">
        <v>1698</v>
      </c>
      <c r="D990" s="260">
        <v>7299.66</v>
      </c>
      <c r="E990" s="260">
        <v>4589.8500000000004</v>
      </c>
      <c r="F990" s="260"/>
      <c r="G990" s="260">
        <v>2709.81</v>
      </c>
      <c r="H990" s="261">
        <v>77832.62</v>
      </c>
      <c r="I990" s="261">
        <v>59899.61</v>
      </c>
      <c r="J990" s="261"/>
      <c r="K990" s="261">
        <v>17933.009999999998</v>
      </c>
      <c r="L990" s="357">
        <v>10.662499349284762</v>
      </c>
      <c r="M990" s="357">
        <v>13.05</v>
      </c>
      <c r="N990" s="357" t="s">
        <v>135</v>
      </c>
      <c r="O990" s="357">
        <v>6.6178108428266187</v>
      </c>
      <c r="P990" s="262"/>
      <c r="Q990" s="262"/>
      <c r="R990" s="262">
        <v>21</v>
      </c>
    </row>
    <row r="991" spans="1:18" ht="36">
      <c r="A991" s="263">
        <v>61.180999999999997</v>
      </c>
      <c r="B991" s="264" t="s">
        <v>1699</v>
      </c>
      <c r="C991" s="265" t="s">
        <v>1700</v>
      </c>
      <c r="D991" s="266">
        <v>7142.04</v>
      </c>
      <c r="E991" s="266">
        <v>4432.2299999999996</v>
      </c>
      <c r="F991" s="266"/>
      <c r="G991" s="266">
        <v>2709.81</v>
      </c>
      <c r="H991" s="267">
        <v>75775.61</v>
      </c>
      <c r="I991" s="267">
        <v>57842.6</v>
      </c>
      <c r="J991" s="267"/>
      <c r="K991" s="267">
        <v>17933.009999999998</v>
      </c>
      <c r="L991" s="356">
        <v>10.609799161024021</v>
      </c>
      <c r="M991" s="356">
        <v>13.05</v>
      </c>
      <c r="N991" s="356" t="s">
        <v>135</v>
      </c>
      <c r="O991" s="356">
        <v>6.6178108428266187</v>
      </c>
      <c r="P991" s="268"/>
      <c r="Q991" s="268"/>
      <c r="R991" s="268">
        <v>21</v>
      </c>
    </row>
    <row r="992" spans="1:18" ht="12.75">
      <c r="A992" s="428" t="s">
        <v>1701</v>
      </c>
      <c r="B992" s="429"/>
      <c r="C992" s="429"/>
      <c r="D992" s="429"/>
      <c r="E992" s="429"/>
      <c r="F992" s="429"/>
      <c r="G992" s="429"/>
      <c r="H992" s="429"/>
      <c r="I992" s="429"/>
      <c r="J992" s="429"/>
      <c r="K992" s="429"/>
      <c r="L992" s="429"/>
      <c r="M992" s="429"/>
      <c r="N992" s="429"/>
      <c r="O992" s="429"/>
      <c r="P992" s="429"/>
      <c r="Q992" s="429"/>
      <c r="R992" s="429"/>
    </row>
    <row r="993" spans="1:18" ht="48">
      <c r="A993" s="258">
        <v>61.182000000000002</v>
      </c>
      <c r="B993" s="251" t="s">
        <v>1702</v>
      </c>
      <c r="C993" s="259" t="s">
        <v>1703</v>
      </c>
      <c r="D993" s="260">
        <v>9435.2199999999993</v>
      </c>
      <c r="E993" s="260">
        <v>6100.01</v>
      </c>
      <c r="F993" s="260">
        <v>3.49</v>
      </c>
      <c r="G993" s="260">
        <v>3331.72</v>
      </c>
      <c r="H993" s="261">
        <v>101701.58</v>
      </c>
      <c r="I993" s="261">
        <v>79607.81</v>
      </c>
      <c r="J993" s="261">
        <v>13.78</v>
      </c>
      <c r="K993" s="261">
        <v>22079.99</v>
      </c>
      <c r="L993" s="357">
        <v>10.778930432994674</v>
      </c>
      <c r="M993" s="357">
        <v>13.05</v>
      </c>
      <c r="N993" s="357">
        <v>3.948424068767908</v>
      </c>
      <c r="O993" s="357">
        <v>6.627204567010434</v>
      </c>
      <c r="P993" s="262"/>
      <c r="Q993" s="262"/>
      <c r="R993" s="262">
        <v>22</v>
      </c>
    </row>
    <row r="994" spans="1:18" ht="48">
      <c r="A994" s="258">
        <v>61.183</v>
      </c>
      <c r="B994" s="251" t="s">
        <v>1704</v>
      </c>
      <c r="C994" s="259" t="s">
        <v>1705</v>
      </c>
      <c r="D994" s="260">
        <v>10863.63</v>
      </c>
      <c r="E994" s="260">
        <v>7531.91</v>
      </c>
      <c r="F994" s="260"/>
      <c r="G994" s="260">
        <v>3331.72</v>
      </c>
      <c r="H994" s="261">
        <v>120374.74</v>
      </c>
      <c r="I994" s="261">
        <v>98294.75</v>
      </c>
      <c r="J994" s="261"/>
      <c r="K994" s="261">
        <v>22079.99</v>
      </c>
      <c r="L994" s="357">
        <v>11.080526490684974</v>
      </c>
      <c r="M994" s="357">
        <v>13.05</v>
      </c>
      <c r="N994" s="357" t="s">
        <v>135</v>
      </c>
      <c r="O994" s="357">
        <v>6.627204567010434</v>
      </c>
      <c r="P994" s="262"/>
      <c r="Q994" s="262"/>
      <c r="R994" s="262">
        <v>22</v>
      </c>
    </row>
    <row r="995" spans="1:18" ht="48">
      <c r="A995" s="258">
        <v>61.183999999999997</v>
      </c>
      <c r="B995" s="251" t="s">
        <v>1706</v>
      </c>
      <c r="C995" s="259" t="s">
        <v>1707</v>
      </c>
      <c r="D995" s="260">
        <v>10575.03</v>
      </c>
      <c r="E995" s="260">
        <v>7243.31</v>
      </c>
      <c r="F995" s="260"/>
      <c r="G995" s="260">
        <v>3331.72</v>
      </c>
      <c r="H995" s="261">
        <v>116608.38</v>
      </c>
      <c r="I995" s="261">
        <v>94528.39</v>
      </c>
      <c r="J995" s="261"/>
      <c r="K995" s="261">
        <v>22079.99</v>
      </c>
      <c r="L995" s="357">
        <v>11.02676588151523</v>
      </c>
      <c r="M995" s="357">
        <v>13.05</v>
      </c>
      <c r="N995" s="357" t="s">
        <v>135</v>
      </c>
      <c r="O995" s="357">
        <v>6.627204567010434</v>
      </c>
      <c r="P995" s="262"/>
      <c r="Q995" s="262"/>
      <c r="R995" s="262">
        <v>22</v>
      </c>
    </row>
    <row r="996" spans="1:18" ht="48">
      <c r="A996" s="258">
        <v>61.185000000000002</v>
      </c>
      <c r="B996" s="251" t="s">
        <v>1708</v>
      </c>
      <c r="C996" s="259" t="s">
        <v>1709</v>
      </c>
      <c r="D996" s="260">
        <v>8517.91</v>
      </c>
      <c r="E996" s="260">
        <v>5182.7</v>
      </c>
      <c r="F996" s="260">
        <v>3.49</v>
      </c>
      <c r="G996" s="260">
        <v>3331.72</v>
      </c>
      <c r="H996" s="261">
        <v>89730.35</v>
      </c>
      <c r="I996" s="261">
        <v>67636.58</v>
      </c>
      <c r="J996" s="261">
        <v>13.78</v>
      </c>
      <c r="K996" s="261">
        <v>22079.99</v>
      </c>
      <c r="L996" s="357">
        <v>10.534315342613388</v>
      </c>
      <c r="M996" s="357">
        <v>13.05</v>
      </c>
      <c r="N996" s="357">
        <v>3.948424068767908</v>
      </c>
      <c r="O996" s="357">
        <v>6.627204567010434</v>
      </c>
      <c r="P996" s="262"/>
      <c r="Q996" s="262"/>
      <c r="R996" s="262">
        <v>22</v>
      </c>
    </row>
    <row r="997" spans="1:18" ht="48">
      <c r="A997" s="258">
        <v>61.186</v>
      </c>
      <c r="B997" s="251" t="s">
        <v>1710</v>
      </c>
      <c r="C997" s="259" t="s">
        <v>1711</v>
      </c>
      <c r="D997" s="260">
        <v>9946.32</v>
      </c>
      <c r="E997" s="260">
        <v>6614.6</v>
      </c>
      <c r="F997" s="260"/>
      <c r="G997" s="260">
        <v>3331.72</v>
      </c>
      <c r="H997" s="261">
        <v>108403.51</v>
      </c>
      <c r="I997" s="261">
        <v>86323.520000000004</v>
      </c>
      <c r="J997" s="261"/>
      <c r="K997" s="261">
        <v>22079.99</v>
      </c>
      <c r="L997" s="357">
        <v>10.898856059326464</v>
      </c>
      <c r="M997" s="357">
        <v>13.05</v>
      </c>
      <c r="N997" s="357" t="s">
        <v>135</v>
      </c>
      <c r="O997" s="357">
        <v>6.627204567010434</v>
      </c>
      <c r="P997" s="262"/>
      <c r="Q997" s="262"/>
      <c r="R997" s="262">
        <v>22</v>
      </c>
    </row>
    <row r="998" spans="1:18" ht="48">
      <c r="A998" s="258">
        <v>61.186999999999998</v>
      </c>
      <c r="B998" s="251" t="s">
        <v>1712</v>
      </c>
      <c r="C998" s="259" t="s">
        <v>1713</v>
      </c>
      <c r="D998" s="260">
        <v>9657.7199999999993</v>
      </c>
      <c r="E998" s="260">
        <v>6326</v>
      </c>
      <c r="F998" s="260"/>
      <c r="G998" s="260">
        <v>3331.72</v>
      </c>
      <c r="H998" s="261">
        <v>104637.15</v>
      </c>
      <c r="I998" s="261">
        <v>82557.16</v>
      </c>
      <c r="J998" s="261"/>
      <c r="K998" s="261">
        <v>22079.99</v>
      </c>
      <c r="L998" s="357">
        <v>10.834560331009804</v>
      </c>
      <c r="M998" s="357">
        <v>13.05</v>
      </c>
      <c r="N998" s="357" t="s">
        <v>135</v>
      </c>
      <c r="O998" s="357">
        <v>6.627204567010434</v>
      </c>
      <c r="P998" s="262"/>
      <c r="Q998" s="262"/>
      <c r="R998" s="262">
        <v>22</v>
      </c>
    </row>
    <row r="999" spans="1:18" ht="48">
      <c r="A999" s="258">
        <v>61.188000000000002</v>
      </c>
      <c r="B999" s="251" t="s">
        <v>1714</v>
      </c>
      <c r="C999" s="259" t="s">
        <v>1715</v>
      </c>
      <c r="D999" s="260">
        <v>11302.24</v>
      </c>
      <c r="E999" s="260">
        <v>7967.03</v>
      </c>
      <c r="F999" s="260">
        <v>3.49</v>
      </c>
      <c r="G999" s="260">
        <v>3331.72</v>
      </c>
      <c r="H999" s="261">
        <v>126067.04</v>
      </c>
      <c r="I999" s="261">
        <v>103973.27</v>
      </c>
      <c r="J999" s="261">
        <v>13.78</v>
      </c>
      <c r="K999" s="261">
        <v>22079.99</v>
      </c>
      <c r="L999" s="357">
        <v>11.154164130296294</v>
      </c>
      <c r="M999" s="357">
        <v>13.05</v>
      </c>
      <c r="N999" s="357">
        <v>3.948424068767908</v>
      </c>
      <c r="O999" s="357">
        <v>6.627204567010434</v>
      </c>
      <c r="P999" s="262"/>
      <c r="Q999" s="262"/>
      <c r="R999" s="262">
        <v>22</v>
      </c>
    </row>
    <row r="1000" spans="1:18" ht="48">
      <c r="A1000" s="258">
        <v>61.189</v>
      </c>
      <c r="B1000" s="251" t="s">
        <v>1716</v>
      </c>
      <c r="C1000" s="259" t="s">
        <v>1717</v>
      </c>
      <c r="D1000" s="260">
        <v>12730.65</v>
      </c>
      <c r="E1000" s="260">
        <v>9398.93</v>
      </c>
      <c r="F1000" s="260"/>
      <c r="G1000" s="260">
        <v>3331.72</v>
      </c>
      <c r="H1000" s="261">
        <v>144740.20000000001</v>
      </c>
      <c r="I1000" s="261">
        <v>122660.21</v>
      </c>
      <c r="J1000" s="261"/>
      <c r="K1000" s="261">
        <v>22079.99</v>
      </c>
      <c r="L1000" s="357">
        <v>11.369427326962882</v>
      </c>
      <c r="M1000" s="357">
        <v>13.05</v>
      </c>
      <c r="N1000" s="357" t="s">
        <v>135</v>
      </c>
      <c r="O1000" s="357">
        <v>6.627204567010434</v>
      </c>
      <c r="P1000" s="262"/>
      <c r="Q1000" s="262"/>
      <c r="R1000" s="262">
        <v>22</v>
      </c>
    </row>
    <row r="1001" spans="1:18" ht="48">
      <c r="A1001" s="258">
        <v>61.19</v>
      </c>
      <c r="B1001" s="251" t="s">
        <v>1718</v>
      </c>
      <c r="C1001" s="259" t="s">
        <v>1719</v>
      </c>
      <c r="D1001" s="260">
        <v>12442.05</v>
      </c>
      <c r="E1001" s="260">
        <v>9110.33</v>
      </c>
      <c r="F1001" s="260"/>
      <c r="G1001" s="260">
        <v>3331.72</v>
      </c>
      <c r="H1001" s="261">
        <v>140973.84</v>
      </c>
      <c r="I1001" s="261">
        <v>118893.85</v>
      </c>
      <c r="J1001" s="261"/>
      <c r="K1001" s="261">
        <v>22079.99</v>
      </c>
      <c r="L1001" s="357">
        <v>11.330435097110204</v>
      </c>
      <c r="M1001" s="357">
        <v>13.05</v>
      </c>
      <c r="N1001" s="357" t="s">
        <v>135</v>
      </c>
      <c r="O1001" s="357">
        <v>6.627204567010434</v>
      </c>
      <c r="P1001" s="262"/>
      <c r="Q1001" s="262"/>
      <c r="R1001" s="262">
        <v>22</v>
      </c>
    </row>
    <row r="1002" spans="1:18" ht="48">
      <c r="A1002" s="258">
        <v>61.191000000000003</v>
      </c>
      <c r="B1002" s="251" t="s">
        <v>1720</v>
      </c>
      <c r="C1002" s="259" t="s">
        <v>1721</v>
      </c>
      <c r="D1002" s="260">
        <v>10385.040000000001</v>
      </c>
      <c r="E1002" s="260">
        <v>7049.83</v>
      </c>
      <c r="F1002" s="260">
        <v>3.49</v>
      </c>
      <c r="G1002" s="260">
        <v>3331.72</v>
      </c>
      <c r="H1002" s="261">
        <v>114097.25</v>
      </c>
      <c r="I1002" s="261">
        <v>92003.48</v>
      </c>
      <c r="J1002" s="261">
        <v>13.78</v>
      </c>
      <c r="K1002" s="261">
        <v>22079.99</v>
      </c>
      <c r="L1002" s="357">
        <v>10.986693358908584</v>
      </c>
      <c r="M1002" s="357">
        <v>13.05</v>
      </c>
      <c r="N1002" s="357">
        <v>3.948424068767908</v>
      </c>
      <c r="O1002" s="357">
        <v>6.627204567010434</v>
      </c>
      <c r="P1002" s="262"/>
      <c r="Q1002" s="262"/>
      <c r="R1002" s="262">
        <v>22</v>
      </c>
    </row>
    <row r="1003" spans="1:18" ht="48">
      <c r="A1003" s="258">
        <v>61.192</v>
      </c>
      <c r="B1003" s="251" t="s">
        <v>1722</v>
      </c>
      <c r="C1003" s="259" t="s">
        <v>1723</v>
      </c>
      <c r="D1003" s="260">
        <v>11813.45</v>
      </c>
      <c r="E1003" s="260">
        <v>8481.73</v>
      </c>
      <c r="F1003" s="260"/>
      <c r="G1003" s="260">
        <v>3331.72</v>
      </c>
      <c r="H1003" s="261">
        <v>132770.41</v>
      </c>
      <c r="I1003" s="261">
        <v>110690.42</v>
      </c>
      <c r="J1003" s="261"/>
      <c r="K1003" s="261">
        <v>22079.99</v>
      </c>
      <c r="L1003" s="357">
        <v>11.23891919803275</v>
      </c>
      <c r="M1003" s="357">
        <v>13.05</v>
      </c>
      <c r="N1003" s="357" t="s">
        <v>135</v>
      </c>
      <c r="O1003" s="357">
        <v>6.627204567010434</v>
      </c>
      <c r="P1003" s="262"/>
      <c r="Q1003" s="262"/>
      <c r="R1003" s="262">
        <v>22</v>
      </c>
    </row>
    <row r="1004" spans="1:18" ht="48">
      <c r="A1004" s="258">
        <v>61.192999999999998</v>
      </c>
      <c r="B1004" s="251" t="s">
        <v>1724</v>
      </c>
      <c r="C1004" s="259" t="s">
        <v>1725</v>
      </c>
      <c r="D1004" s="260">
        <v>11524.85</v>
      </c>
      <c r="E1004" s="260">
        <v>8193.1299999999992</v>
      </c>
      <c r="F1004" s="260"/>
      <c r="G1004" s="260">
        <v>3331.72</v>
      </c>
      <c r="H1004" s="261">
        <v>129004.05</v>
      </c>
      <c r="I1004" s="261">
        <v>106924.06</v>
      </c>
      <c r="J1004" s="261"/>
      <c r="K1004" s="261">
        <v>22079.99</v>
      </c>
      <c r="L1004" s="357">
        <v>11.193555664498888</v>
      </c>
      <c r="M1004" s="357">
        <v>13.05</v>
      </c>
      <c r="N1004" s="357" t="s">
        <v>135</v>
      </c>
      <c r="O1004" s="357">
        <v>6.627204567010434</v>
      </c>
      <c r="P1004" s="262"/>
      <c r="Q1004" s="262"/>
      <c r="R1004" s="262">
        <v>22</v>
      </c>
    </row>
    <row r="1005" spans="1:18" ht="48">
      <c r="A1005" s="258">
        <v>61.194000000000003</v>
      </c>
      <c r="B1005" s="251" t="s">
        <v>1726</v>
      </c>
      <c r="C1005" s="259" t="s">
        <v>1727</v>
      </c>
      <c r="D1005" s="260">
        <v>10144.11</v>
      </c>
      <c r="E1005" s="260">
        <v>6695.63</v>
      </c>
      <c r="F1005" s="260">
        <v>3.49</v>
      </c>
      <c r="G1005" s="260">
        <v>3444.99</v>
      </c>
      <c r="H1005" s="261">
        <v>107697.05</v>
      </c>
      <c r="I1005" s="261">
        <v>87381</v>
      </c>
      <c r="J1005" s="261">
        <v>13.78</v>
      </c>
      <c r="K1005" s="261">
        <v>20302.27</v>
      </c>
      <c r="L1005" s="357">
        <v>10.616707626396007</v>
      </c>
      <c r="M1005" s="357">
        <v>13.05</v>
      </c>
      <c r="N1005" s="357">
        <v>3.948424068767908</v>
      </c>
      <c r="O1005" s="357">
        <v>5.8932740007953583</v>
      </c>
      <c r="P1005" s="262"/>
      <c r="Q1005" s="262"/>
      <c r="R1005" s="262">
        <v>22</v>
      </c>
    </row>
    <row r="1006" spans="1:18" ht="48">
      <c r="A1006" s="258">
        <v>61.195</v>
      </c>
      <c r="B1006" s="251" t="s">
        <v>1728</v>
      </c>
      <c r="C1006" s="259" t="s">
        <v>1729</v>
      </c>
      <c r="D1006" s="260">
        <v>11716.82</v>
      </c>
      <c r="E1006" s="260">
        <v>8271.83</v>
      </c>
      <c r="F1006" s="260"/>
      <c r="G1006" s="260">
        <v>3444.99</v>
      </c>
      <c r="H1006" s="261">
        <v>128253.39</v>
      </c>
      <c r="I1006" s="261">
        <v>107951.12</v>
      </c>
      <c r="J1006" s="261"/>
      <c r="K1006" s="261">
        <v>20302.27</v>
      </c>
      <c r="L1006" s="357">
        <v>10.946092028383129</v>
      </c>
      <c r="M1006" s="357">
        <v>13.05</v>
      </c>
      <c r="N1006" s="357" t="s">
        <v>135</v>
      </c>
      <c r="O1006" s="357">
        <v>5.8932740007953583</v>
      </c>
      <c r="P1006" s="262"/>
      <c r="Q1006" s="262"/>
      <c r="R1006" s="262">
        <v>22</v>
      </c>
    </row>
    <row r="1007" spans="1:18" ht="36">
      <c r="A1007" s="258">
        <v>61.195999999999998</v>
      </c>
      <c r="B1007" s="251" t="s">
        <v>1730</v>
      </c>
      <c r="C1007" s="259" t="s">
        <v>1731</v>
      </c>
      <c r="D1007" s="260">
        <v>11394.92</v>
      </c>
      <c r="E1007" s="260">
        <v>7949.93</v>
      </c>
      <c r="F1007" s="260"/>
      <c r="G1007" s="260">
        <v>3444.99</v>
      </c>
      <c r="H1007" s="261">
        <v>124052.45</v>
      </c>
      <c r="I1007" s="261">
        <v>103750.18</v>
      </c>
      <c r="J1007" s="261"/>
      <c r="K1007" s="261">
        <v>20302.27</v>
      </c>
      <c r="L1007" s="357">
        <v>10.886645101501371</v>
      </c>
      <c r="M1007" s="357">
        <v>13.05</v>
      </c>
      <c r="N1007" s="357" t="s">
        <v>135</v>
      </c>
      <c r="O1007" s="357">
        <v>5.8932740007953583</v>
      </c>
      <c r="P1007" s="262"/>
      <c r="Q1007" s="262"/>
      <c r="R1007" s="262">
        <v>22</v>
      </c>
    </row>
    <row r="1008" spans="1:18" ht="48">
      <c r="A1008" s="258">
        <v>61.197000000000003</v>
      </c>
      <c r="B1008" s="251" t="s">
        <v>1732</v>
      </c>
      <c r="C1008" s="259" t="s">
        <v>1733</v>
      </c>
      <c r="D1008" s="260">
        <v>9145.7800000000007</v>
      </c>
      <c r="E1008" s="260">
        <v>5697.3</v>
      </c>
      <c r="F1008" s="260">
        <v>3.49</v>
      </c>
      <c r="G1008" s="260">
        <v>3444.99</v>
      </c>
      <c r="H1008" s="261">
        <v>94668.34</v>
      </c>
      <c r="I1008" s="261">
        <v>74352.289999999994</v>
      </c>
      <c r="J1008" s="261">
        <v>13.78</v>
      </c>
      <c r="K1008" s="261">
        <v>20302.27</v>
      </c>
      <c r="L1008" s="357">
        <v>10.351040589211635</v>
      </c>
      <c r="M1008" s="357">
        <v>13.05</v>
      </c>
      <c r="N1008" s="357">
        <v>3.948424068767908</v>
      </c>
      <c r="O1008" s="357">
        <v>5.8932740007953583</v>
      </c>
      <c r="P1008" s="262"/>
      <c r="Q1008" s="262"/>
      <c r="R1008" s="262">
        <v>22</v>
      </c>
    </row>
    <row r="1009" spans="1:18" ht="48">
      <c r="A1009" s="258">
        <v>61.198</v>
      </c>
      <c r="B1009" s="251" t="s">
        <v>1734</v>
      </c>
      <c r="C1009" s="259" t="s">
        <v>1735</v>
      </c>
      <c r="D1009" s="260">
        <v>10718.49</v>
      </c>
      <c r="E1009" s="260">
        <v>7273.5</v>
      </c>
      <c r="F1009" s="260"/>
      <c r="G1009" s="260">
        <v>3444.99</v>
      </c>
      <c r="H1009" s="261">
        <v>115224.68</v>
      </c>
      <c r="I1009" s="261">
        <v>94922.41</v>
      </c>
      <c r="J1009" s="261"/>
      <c r="K1009" s="261">
        <v>20302.27</v>
      </c>
      <c r="L1009" s="357">
        <v>10.750085133260376</v>
      </c>
      <c r="M1009" s="357">
        <v>13.05</v>
      </c>
      <c r="N1009" s="357" t="s">
        <v>135</v>
      </c>
      <c r="O1009" s="357">
        <v>5.8932740007953583</v>
      </c>
      <c r="P1009" s="262"/>
      <c r="Q1009" s="262"/>
      <c r="R1009" s="262">
        <v>22</v>
      </c>
    </row>
    <row r="1010" spans="1:18" ht="48">
      <c r="A1010" s="258">
        <v>61.198999999999998</v>
      </c>
      <c r="B1010" s="251" t="s">
        <v>1736</v>
      </c>
      <c r="C1010" s="259" t="s">
        <v>1737</v>
      </c>
      <c r="D1010" s="260">
        <v>10396.59</v>
      </c>
      <c r="E1010" s="260">
        <v>6951.6</v>
      </c>
      <c r="F1010" s="260"/>
      <c r="G1010" s="260">
        <v>3444.99</v>
      </c>
      <c r="H1010" s="261">
        <v>111023.74</v>
      </c>
      <c r="I1010" s="261">
        <v>90721.47</v>
      </c>
      <c r="J1010" s="261"/>
      <c r="K1010" s="261">
        <v>20302.27</v>
      </c>
      <c r="L1010" s="357">
        <v>10.678861049632621</v>
      </c>
      <c r="M1010" s="357">
        <v>13.05</v>
      </c>
      <c r="N1010" s="357" t="s">
        <v>135</v>
      </c>
      <c r="O1010" s="357">
        <v>5.8932740007953583</v>
      </c>
      <c r="P1010" s="262"/>
      <c r="Q1010" s="262"/>
      <c r="R1010" s="262">
        <v>22</v>
      </c>
    </row>
    <row r="1011" spans="1:18" ht="48">
      <c r="A1011" s="258">
        <v>61.2</v>
      </c>
      <c r="B1011" s="251" t="s">
        <v>1738</v>
      </c>
      <c r="C1011" s="259" t="s">
        <v>1739</v>
      </c>
      <c r="D1011" s="260">
        <v>14013.57</v>
      </c>
      <c r="E1011" s="260">
        <v>10042.5</v>
      </c>
      <c r="F1011" s="260">
        <v>3.49</v>
      </c>
      <c r="G1011" s="260">
        <v>3967.58</v>
      </c>
      <c r="H1011" s="261">
        <v>157932.23000000001</v>
      </c>
      <c r="I1011" s="261">
        <v>131059.19</v>
      </c>
      <c r="J1011" s="261">
        <v>13.78</v>
      </c>
      <c r="K1011" s="261">
        <v>26859.26</v>
      </c>
      <c r="L1011" s="357">
        <v>11.269949770115682</v>
      </c>
      <c r="M1011" s="357">
        <v>13.05</v>
      </c>
      <c r="N1011" s="357">
        <v>3.948424068767908</v>
      </c>
      <c r="O1011" s="357">
        <v>6.7696832830087859</v>
      </c>
      <c r="P1011" s="262"/>
      <c r="Q1011" s="262"/>
      <c r="R1011" s="262">
        <v>22</v>
      </c>
    </row>
    <row r="1012" spans="1:18" ht="48">
      <c r="A1012" s="258">
        <v>61.201000000000001</v>
      </c>
      <c r="B1012" s="251" t="s">
        <v>1740</v>
      </c>
      <c r="C1012" s="259" t="s">
        <v>1741</v>
      </c>
      <c r="D1012" s="260">
        <v>16374.38</v>
      </c>
      <c r="E1012" s="260">
        <v>12406.8</v>
      </c>
      <c r="F1012" s="260"/>
      <c r="G1012" s="260">
        <v>3967.58</v>
      </c>
      <c r="H1012" s="261">
        <v>188773.63</v>
      </c>
      <c r="I1012" s="261">
        <v>161914.37</v>
      </c>
      <c r="J1012" s="261"/>
      <c r="K1012" s="261">
        <v>26859.26</v>
      </c>
      <c r="L1012" s="357">
        <v>11.528597113295282</v>
      </c>
      <c r="M1012" s="357">
        <v>13.05</v>
      </c>
      <c r="N1012" s="357" t="s">
        <v>135</v>
      </c>
      <c r="O1012" s="357">
        <v>6.7696832830087859</v>
      </c>
      <c r="P1012" s="262"/>
      <c r="Q1012" s="262"/>
      <c r="R1012" s="262">
        <v>22</v>
      </c>
    </row>
    <row r="1013" spans="1:18" ht="48">
      <c r="A1013" s="258">
        <v>61.201999999999998</v>
      </c>
      <c r="B1013" s="251" t="s">
        <v>1742</v>
      </c>
      <c r="C1013" s="259" t="s">
        <v>1743</v>
      </c>
      <c r="D1013" s="260">
        <v>15897.08</v>
      </c>
      <c r="E1013" s="260">
        <v>11929.5</v>
      </c>
      <c r="F1013" s="260"/>
      <c r="G1013" s="260">
        <v>3967.58</v>
      </c>
      <c r="H1013" s="261">
        <v>182544.65</v>
      </c>
      <c r="I1013" s="261">
        <v>155685.39000000001</v>
      </c>
      <c r="J1013" s="261"/>
      <c r="K1013" s="261">
        <v>26859.26</v>
      </c>
      <c r="L1013" s="357">
        <v>11.482904407601898</v>
      </c>
      <c r="M1013" s="357">
        <v>13.05</v>
      </c>
      <c r="N1013" s="357" t="s">
        <v>135</v>
      </c>
      <c r="O1013" s="357">
        <v>6.7696832830087859</v>
      </c>
      <c r="P1013" s="262"/>
      <c r="Q1013" s="262"/>
      <c r="R1013" s="262">
        <v>22</v>
      </c>
    </row>
    <row r="1014" spans="1:18" ht="48">
      <c r="A1014" s="258">
        <v>61.203000000000003</v>
      </c>
      <c r="B1014" s="251" t="s">
        <v>1744</v>
      </c>
      <c r="C1014" s="259" t="s">
        <v>1745</v>
      </c>
      <c r="D1014" s="260">
        <v>17515.96</v>
      </c>
      <c r="E1014" s="260">
        <v>13544.89</v>
      </c>
      <c r="F1014" s="260">
        <v>3.49</v>
      </c>
      <c r="G1014" s="260">
        <v>3967.58</v>
      </c>
      <c r="H1014" s="261">
        <v>203639.9</v>
      </c>
      <c r="I1014" s="261">
        <v>176766.86</v>
      </c>
      <c r="J1014" s="261">
        <v>13.78</v>
      </c>
      <c r="K1014" s="261">
        <v>26859.26</v>
      </c>
      <c r="L1014" s="357">
        <v>11.625962836179118</v>
      </c>
      <c r="M1014" s="357">
        <v>13.05</v>
      </c>
      <c r="N1014" s="357">
        <v>3.948424068767908</v>
      </c>
      <c r="O1014" s="357">
        <v>6.7696832830087859</v>
      </c>
      <c r="P1014" s="262"/>
      <c r="Q1014" s="262"/>
      <c r="R1014" s="262">
        <v>22</v>
      </c>
    </row>
    <row r="1015" spans="1:18" ht="48">
      <c r="A1015" s="258">
        <v>61.204000000000001</v>
      </c>
      <c r="B1015" s="251" t="s">
        <v>1746</v>
      </c>
      <c r="C1015" s="259" t="s">
        <v>1747</v>
      </c>
      <c r="D1015" s="260">
        <v>20709.27</v>
      </c>
      <c r="E1015" s="260">
        <v>16741.689999999999</v>
      </c>
      <c r="F1015" s="260"/>
      <c r="G1015" s="260">
        <v>3967.58</v>
      </c>
      <c r="H1015" s="261">
        <v>245345.8</v>
      </c>
      <c r="I1015" s="261">
        <v>218486.54</v>
      </c>
      <c r="J1015" s="261"/>
      <c r="K1015" s="261">
        <v>26859.26</v>
      </c>
      <c r="L1015" s="357">
        <v>11.847148644061329</v>
      </c>
      <c r="M1015" s="357">
        <v>13.05</v>
      </c>
      <c r="N1015" s="357" t="s">
        <v>135</v>
      </c>
      <c r="O1015" s="357">
        <v>6.7696832830087859</v>
      </c>
      <c r="P1015" s="262"/>
      <c r="Q1015" s="262"/>
      <c r="R1015" s="262">
        <v>22</v>
      </c>
    </row>
    <row r="1016" spans="1:18" ht="48">
      <c r="A1016" s="263">
        <v>61.204999999999998</v>
      </c>
      <c r="B1016" s="264" t="s">
        <v>1748</v>
      </c>
      <c r="C1016" s="265" t="s">
        <v>1749</v>
      </c>
      <c r="D1016" s="266">
        <v>20065.47</v>
      </c>
      <c r="E1016" s="266">
        <v>16097.89</v>
      </c>
      <c r="F1016" s="266"/>
      <c r="G1016" s="266">
        <v>3967.58</v>
      </c>
      <c r="H1016" s="267">
        <v>236943.92</v>
      </c>
      <c r="I1016" s="267">
        <v>210084.66</v>
      </c>
      <c r="J1016" s="267"/>
      <c r="K1016" s="267">
        <v>26859.26</v>
      </c>
      <c r="L1016" s="356">
        <v>11.808540741881451</v>
      </c>
      <c r="M1016" s="356">
        <v>13.05</v>
      </c>
      <c r="N1016" s="356" t="s">
        <v>135</v>
      </c>
      <c r="O1016" s="356">
        <v>6.7696832830087859</v>
      </c>
      <c r="P1016" s="268"/>
      <c r="Q1016" s="268"/>
      <c r="R1016" s="268">
        <v>22</v>
      </c>
    </row>
    <row r="1017" spans="1:18" ht="12.75">
      <c r="A1017" s="428" t="s">
        <v>1750</v>
      </c>
      <c r="B1017" s="429"/>
      <c r="C1017" s="429"/>
      <c r="D1017" s="429"/>
      <c r="E1017" s="429"/>
      <c r="F1017" s="429"/>
      <c r="G1017" s="429"/>
      <c r="H1017" s="429"/>
      <c r="I1017" s="429"/>
      <c r="J1017" s="429"/>
      <c r="K1017" s="429"/>
      <c r="L1017" s="429"/>
      <c r="M1017" s="429"/>
      <c r="N1017" s="429"/>
      <c r="O1017" s="429"/>
      <c r="P1017" s="429"/>
      <c r="Q1017" s="429"/>
      <c r="R1017" s="429"/>
    </row>
    <row r="1018" spans="1:18" ht="48">
      <c r="A1018" s="258">
        <v>61.206000000000003</v>
      </c>
      <c r="B1018" s="251" t="s">
        <v>1751</v>
      </c>
      <c r="C1018" s="259" t="s">
        <v>1752</v>
      </c>
      <c r="D1018" s="260">
        <v>14274.82</v>
      </c>
      <c r="E1018" s="260">
        <v>10939.61</v>
      </c>
      <c r="F1018" s="260">
        <v>3.49</v>
      </c>
      <c r="G1018" s="260">
        <v>3331.72</v>
      </c>
      <c r="H1018" s="261">
        <v>164860.54</v>
      </c>
      <c r="I1018" s="261">
        <v>142766.76999999999</v>
      </c>
      <c r="J1018" s="261">
        <v>13.78</v>
      </c>
      <c r="K1018" s="261">
        <v>22079.99</v>
      </c>
      <c r="L1018" s="357">
        <v>11.549045101794629</v>
      </c>
      <c r="M1018" s="357">
        <v>13.05</v>
      </c>
      <c r="N1018" s="357">
        <v>3.948424068767908</v>
      </c>
      <c r="O1018" s="357">
        <v>6.627204567010434</v>
      </c>
      <c r="P1018" s="262"/>
      <c r="Q1018" s="262"/>
      <c r="R1018" s="262">
        <v>23</v>
      </c>
    </row>
    <row r="1019" spans="1:18" ht="48">
      <c r="A1019" s="258">
        <v>61.207000000000001</v>
      </c>
      <c r="B1019" s="251" t="s">
        <v>1753</v>
      </c>
      <c r="C1019" s="259" t="s">
        <v>1754</v>
      </c>
      <c r="D1019" s="260">
        <v>15703.23</v>
      </c>
      <c r="E1019" s="260">
        <v>12371.51</v>
      </c>
      <c r="F1019" s="260"/>
      <c r="G1019" s="260">
        <v>3331.72</v>
      </c>
      <c r="H1019" s="261">
        <v>183533.7</v>
      </c>
      <c r="I1019" s="261">
        <v>161453.71</v>
      </c>
      <c r="J1019" s="261"/>
      <c r="K1019" s="261">
        <v>22079.99</v>
      </c>
      <c r="L1019" s="357">
        <v>11.68764005876498</v>
      </c>
      <c r="M1019" s="357">
        <v>13.05</v>
      </c>
      <c r="N1019" s="357" t="s">
        <v>135</v>
      </c>
      <c r="O1019" s="357">
        <v>6.627204567010434</v>
      </c>
      <c r="P1019" s="262"/>
      <c r="Q1019" s="262"/>
      <c r="R1019" s="262">
        <v>23</v>
      </c>
    </row>
    <row r="1020" spans="1:18" ht="48">
      <c r="A1020" s="258">
        <v>61.207999999999998</v>
      </c>
      <c r="B1020" s="251" t="s">
        <v>1755</v>
      </c>
      <c r="C1020" s="259" t="s">
        <v>1756</v>
      </c>
      <c r="D1020" s="260">
        <v>15114.93</v>
      </c>
      <c r="E1020" s="260">
        <v>11783.21</v>
      </c>
      <c r="F1020" s="260"/>
      <c r="G1020" s="260">
        <v>3331.72</v>
      </c>
      <c r="H1020" s="261">
        <v>175856.12</v>
      </c>
      <c r="I1020" s="261">
        <v>153776.13</v>
      </c>
      <c r="J1020" s="261"/>
      <c r="K1020" s="261">
        <v>22079.99</v>
      </c>
      <c r="L1020" s="357">
        <v>11.634597050730635</v>
      </c>
      <c r="M1020" s="357">
        <v>13.05</v>
      </c>
      <c r="N1020" s="357" t="s">
        <v>135</v>
      </c>
      <c r="O1020" s="357">
        <v>6.627204567010434</v>
      </c>
      <c r="P1020" s="262"/>
      <c r="Q1020" s="262"/>
      <c r="R1020" s="262">
        <v>23</v>
      </c>
    </row>
    <row r="1021" spans="1:18" ht="48">
      <c r="A1021" s="258">
        <v>61.209000000000003</v>
      </c>
      <c r="B1021" s="251" t="s">
        <v>1757</v>
      </c>
      <c r="C1021" s="259" t="s">
        <v>1758</v>
      </c>
      <c r="D1021" s="260">
        <v>13357.51</v>
      </c>
      <c r="E1021" s="260">
        <v>10022.299999999999</v>
      </c>
      <c r="F1021" s="260">
        <v>3.49</v>
      </c>
      <c r="G1021" s="260">
        <v>3331.72</v>
      </c>
      <c r="H1021" s="261">
        <v>152889.31</v>
      </c>
      <c r="I1021" s="261">
        <v>130795.54</v>
      </c>
      <c r="J1021" s="261">
        <v>13.78</v>
      </c>
      <c r="K1021" s="261">
        <v>22079.99</v>
      </c>
      <c r="L1021" s="357">
        <v>11.4459438922374</v>
      </c>
      <c r="M1021" s="357">
        <v>13.05</v>
      </c>
      <c r="N1021" s="357">
        <v>3.948424068767908</v>
      </c>
      <c r="O1021" s="357">
        <v>6.627204567010434</v>
      </c>
      <c r="P1021" s="262"/>
      <c r="Q1021" s="262"/>
      <c r="R1021" s="262">
        <v>23</v>
      </c>
    </row>
    <row r="1022" spans="1:18" ht="48">
      <c r="A1022" s="258">
        <v>61.21</v>
      </c>
      <c r="B1022" s="251" t="s">
        <v>1759</v>
      </c>
      <c r="C1022" s="259" t="s">
        <v>1760</v>
      </c>
      <c r="D1022" s="260">
        <v>14785.92</v>
      </c>
      <c r="E1022" s="260">
        <v>11454.2</v>
      </c>
      <c r="F1022" s="260"/>
      <c r="G1022" s="260">
        <v>3331.72</v>
      </c>
      <c r="H1022" s="261">
        <v>171562.47</v>
      </c>
      <c r="I1022" s="261">
        <v>149482.48000000001</v>
      </c>
      <c r="J1022" s="261"/>
      <c r="K1022" s="261">
        <v>22079.99</v>
      </c>
      <c r="L1022" s="357">
        <v>11.603097406181016</v>
      </c>
      <c r="M1022" s="357">
        <v>13.05</v>
      </c>
      <c r="N1022" s="357" t="s">
        <v>135</v>
      </c>
      <c r="O1022" s="357">
        <v>6.627204567010434</v>
      </c>
      <c r="P1022" s="262"/>
      <c r="Q1022" s="262"/>
      <c r="R1022" s="262">
        <v>23</v>
      </c>
    </row>
    <row r="1023" spans="1:18" ht="48">
      <c r="A1023" s="258">
        <v>61.210999999999999</v>
      </c>
      <c r="B1023" s="251" t="s">
        <v>1761</v>
      </c>
      <c r="C1023" s="259" t="s">
        <v>1762</v>
      </c>
      <c r="D1023" s="260">
        <v>14497.32</v>
      </c>
      <c r="E1023" s="260">
        <v>11165.6</v>
      </c>
      <c r="F1023" s="260"/>
      <c r="G1023" s="260">
        <v>3331.72</v>
      </c>
      <c r="H1023" s="261">
        <v>167796.11</v>
      </c>
      <c r="I1023" s="261">
        <v>145716.12</v>
      </c>
      <c r="J1023" s="261"/>
      <c r="K1023" s="261">
        <v>22079.99</v>
      </c>
      <c r="L1023" s="357">
        <v>11.574284764356445</v>
      </c>
      <c r="M1023" s="357">
        <v>13.05</v>
      </c>
      <c r="N1023" s="357" t="s">
        <v>135</v>
      </c>
      <c r="O1023" s="357">
        <v>6.627204567010434</v>
      </c>
      <c r="P1023" s="262"/>
      <c r="Q1023" s="262"/>
      <c r="R1023" s="262">
        <v>23</v>
      </c>
    </row>
    <row r="1024" spans="1:18" ht="48">
      <c r="A1024" s="258">
        <v>61.212000000000003</v>
      </c>
      <c r="B1024" s="251" t="s">
        <v>1763</v>
      </c>
      <c r="C1024" s="259" t="s">
        <v>1764</v>
      </c>
      <c r="D1024" s="260">
        <v>16141.84</v>
      </c>
      <c r="E1024" s="260">
        <v>12806.63</v>
      </c>
      <c r="F1024" s="260">
        <v>3.49</v>
      </c>
      <c r="G1024" s="260">
        <v>3331.72</v>
      </c>
      <c r="H1024" s="261">
        <v>189226</v>
      </c>
      <c r="I1024" s="261">
        <v>167132.23000000001</v>
      </c>
      <c r="J1024" s="261">
        <v>13.78</v>
      </c>
      <c r="K1024" s="261">
        <v>22079.99</v>
      </c>
      <c r="L1024" s="357">
        <v>11.722703235814505</v>
      </c>
      <c r="M1024" s="357">
        <v>13.05</v>
      </c>
      <c r="N1024" s="357">
        <v>3.948424068767908</v>
      </c>
      <c r="O1024" s="357">
        <v>6.627204567010434</v>
      </c>
      <c r="P1024" s="262"/>
      <c r="Q1024" s="262"/>
      <c r="R1024" s="262">
        <v>23</v>
      </c>
    </row>
    <row r="1025" spans="1:18" ht="48">
      <c r="A1025" s="258">
        <v>61.213000000000001</v>
      </c>
      <c r="B1025" s="251" t="s">
        <v>1765</v>
      </c>
      <c r="C1025" s="259" t="s">
        <v>1766</v>
      </c>
      <c r="D1025" s="260">
        <v>17570.25</v>
      </c>
      <c r="E1025" s="260">
        <v>14238.53</v>
      </c>
      <c r="F1025" s="260"/>
      <c r="G1025" s="260">
        <v>3331.72</v>
      </c>
      <c r="H1025" s="261">
        <v>207899.16</v>
      </c>
      <c r="I1025" s="261">
        <v>185819.17</v>
      </c>
      <c r="J1025" s="261"/>
      <c r="K1025" s="261">
        <v>22079.99</v>
      </c>
      <c r="L1025" s="357">
        <v>11.832453152345584</v>
      </c>
      <c r="M1025" s="357">
        <v>13.05</v>
      </c>
      <c r="N1025" s="357" t="s">
        <v>135</v>
      </c>
      <c r="O1025" s="357">
        <v>6.627204567010434</v>
      </c>
      <c r="P1025" s="262"/>
      <c r="Q1025" s="262"/>
      <c r="R1025" s="262">
        <v>23</v>
      </c>
    </row>
    <row r="1026" spans="1:18" ht="48">
      <c r="A1026" s="258">
        <v>61.213999999999999</v>
      </c>
      <c r="B1026" s="251" t="s">
        <v>1767</v>
      </c>
      <c r="C1026" s="259" t="s">
        <v>1768</v>
      </c>
      <c r="D1026" s="260">
        <v>17281.650000000001</v>
      </c>
      <c r="E1026" s="260">
        <v>13949.93</v>
      </c>
      <c r="F1026" s="260"/>
      <c r="G1026" s="260">
        <v>3331.72</v>
      </c>
      <c r="H1026" s="261">
        <v>204132.8</v>
      </c>
      <c r="I1026" s="261">
        <v>182052.81</v>
      </c>
      <c r="J1026" s="261"/>
      <c r="K1026" s="261">
        <v>22079.99</v>
      </c>
      <c r="L1026" s="357">
        <v>11.812112848020876</v>
      </c>
      <c r="M1026" s="357">
        <v>13.05</v>
      </c>
      <c r="N1026" s="357" t="s">
        <v>135</v>
      </c>
      <c r="O1026" s="357">
        <v>6.627204567010434</v>
      </c>
      <c r="P1026" s="262"/>
      <c r="Q1026" s="262"/>
      <c r="R1026" s="262">
        <v>23</v>
      </c>
    </row>
    <row r="1027" spans="1:18" ht="48">
      <c r="A1027" s="258">
        <v>61.215000000000003</v>
      </c>
      <c r="B1027" s="251" t="s">
        <v>1769</v>
      </c>
      <c r="C1027" s="259" t="s">
        <v>1770</v>
      </c>
      <c r="D1027" s="260">
        <v>15224.64</v>
      </c>
      <c r="E1027" s="260">
        <v>11889.43</v>
      </c>
      <c r="F1027" s="260">
        <v>3.49</v>
      </c>
      <c r="G1027" s="260">
        <v>3331.72</v>
      </c>
      <c r="H1027" s="261">
        <v>177256.21</v>
      </c>
      <c r="I1027" s="261">
        <v>155162.44</v>
      </c>
      <c r="J1027" s="261">
        <v>13.78</v>
      </c>
      <c r="K1027" s="261">
        <v>22079.99</v>
      </c>
      <c r="L1027" s="357">
        <v>11.642719302394013</v>
      </c>
      <c r="M1027" s="357">
        <v>13.05</v>
      </c>
      <c r="N1027" s="357">
        <v>3.948424068767908</v>
      </c>
      <c r="O1027" s="357">
        <v>6.627204567010434</v>
      </c>
      <c r="P1027" s="262"/>
      <c r="Q1027" s="262"/>
      <c r="R1027" s="262">
        <v>23</v>
      </c>
    </row>
    <row r="1028" spans="1:18" ht="48">
      <c r="A1028" s="258">
        <v>61.216000000000001</v>
      </c>
      <c r="B1028" s="251" t="s">
        <v>1771</v>
      </c>
      <c r="C1028" s="259" t="s">
        <v>1772</v>
      </c>
      <c r="D1028" s="260">
        <v>16653.05</v>
      </c>
      <c r="E1028" s="260">
        <v>13321.33</v>
      </c>
      <c r="F1028" s="260"/>
      <c r="G1028" s="260">
        <v>3331.72</v>
      </c>
      <c r="H1028" s="261">
        <v>195929.37</v>
      </c>
      <c r="I1028" s="261">
        <v>173849.38</v>
      </c>
      <c r="J1028" s="261"/>
      <c r="K1028" s="261">
        <v>22079.99</v>
      </c>
      <c r="L1028" s="357">
        <v>11.765374510975468</v>
      </c>
      <c r="M1028" s="357">
        <v>13.05</v>
      </c>
      <c r="N1028" s="357" t="s">
        <v>135</v>
      </c>
      <c r="O1028" s="357">
        <v>6.627204567010434</v>
      </c>
      <c r="P1028" s="262"/>
      <c r="Q1028" s="262"/>
      <c r="R1028" s="262">
        <v>23</v>
      </c>
    </row>
    <row r="1029" spans="1:18" ht="48">
      <c r="A1029" s="258">
        <v>61.216999999999999</v>
      </c>
      <c r="B1029" s="251" t="s">
        <v>1773</v>
      </c>
      <c r="C1029" s="259" t="s">
        <v>1774</v>
      </c>
      <c r="D1029" s="260">
        <v>16364.45</v>
      </c>
      <c r="E1029" s="260">
        <v>13032.73</v>
      </c>
      <c r="F1029" s="260"/>
      <c r="G1029" s="260">
        <v>3331.72</v>
      </c>
      <c r="H1029" s="261">
        <v>192163.01</v>
      </c>
      <c r="I1029" s="261">
        <v>170083.02</v>
      </c>
      <c r="J1029" s="261"/>
      <c r="K1029" s="261">
        <v>22079.99</v>
      </c>
      <c r="L1029" s="357">
        <v>11.742711181860679</v>
      </c>
      <c r="M1029" s="357">
        <v>13.05</v>
      </c>
      <c r="N1029" s="357" t="s">
        <v>135</v>
      </c>
      <c r="O1029" s="357">
        <v>6.627204567010434</v>
      </c>
      <c r="P1029" s="262"/>
      <c r="Q1029" s="262"/>
      <c r="R1029" s="262">
        <v>23</v>
      </c>
    </row>
    <row r="1030" spans="1:18" ht="48">
      <c r="A1030" s="258">
        <v>61.218000000000004</v>
      </c>
      <c r="B1030" s="251" t="s">
        <v>1775</v>
      </c>
      <c r="C1030" s="259" t="s">
        <v>1776</v>
      </c>
      <c r="D1030" s="260">
        <v>15449.91</v>
      </c>
      <c r="E1030" s="260">
        <v>12001.43</v>
      </c>
      <c r="F1030" s="260">
        <v>3.49</v>
      </c>
      <c r="G1030" s="260">
        <v>3444.99</v>
      </c>
      <c r="H1030" s="261">
        <v>176940.13</v>
      </c>
      <c r="I1030" s="261">
        <v>156624.07999999999</v>
      </c>
      <c r="J1030" s="261">
        <v>13.78</v>
      </c>
      <c r="K1030" s="261">
        <v>20302.27</v>
      </c>
      <c r="L1030" s="357">
        <v>11.452502312311205</v>
      </c>
      <c r="M1030" s="357">
        <v>13.05</v>
      </c>
      <c r="N1030" s="357">
        <v>3.948424068767908</v>
      </c>
      <c r="O1030" s="357">
        <v>5.8932740007953583</v>
      </c>
      <c r="P1030" s="262"/>
      <c r="Q1030" s="262"/>
      <c r="R1030" s="262">
        <v>23</v>
      </c>
    </row>
    <row r="1031" spans="1:18" ht="48">
      <c r="A1031" s="258">
        <v>61.219000000000001</v>
      </c>
      <c r="B1031" s="251" t="s">
        <v>1777</v>
      </c>
      <c r="C1031" s="259" t="s">
        <v>1778</v>
      </c>
      <c r="D1031" s="260">
        <v>17022.62</v>
      </c>
      <c r="E1031" s="260">
        <v>13577.63</v>
      </c>
      <c r="F1031" s="260"/>
      <c r="G1031" s="260">
        <v>3444.99</v>
      </c>
      <c r="H1031" s="261">
        <v>197496.47</v>
      </c>
      <c r="I1031" s="261">
        <v>177194.2</v>
      </c>
      <c r="J1031" s="261"/>
      <c r="K1031" s="261">
        <v>20302.27</v>
      </c>
      <c r="L1031" s="357">
        <v>11.60200192449811</v>
      </c>
      <c r="M1031" s="357">
        <v>13.05</v>
      </c>
      <c r="N1031" s="357" t="s">
        <v>135</v>
      </c>
      <c r="O1031" s="357">
        <v>5.8932740007953583</v>
      </c>
      <c r="P1031" s="262"/>
      <c r="Q1031" s="262"/>
      <c r="R1031" s="262">
        <v>23</v>
      </c>
    </row>
    <row r="1032" spans="1:18" ht="36">
      <c r="A1032" s="258">
        <v>61.22</v>
      </c>
      <c r="B1032" s="251" t="s">
        <v>1779</v>
      </c>
      <c r="C1032" s="259" t="s">
        <v>1780</v>
      </c>
      <c r="D1032" s="260">
        <v>16700.72</v>
      </c>
      <c r="E1032" s="260">
        <v>13255.73</v>
      </c>
      <c r="F1032" s="260"/>
      <c r="G1032" s="260">
        <v>3444.99</v>
      </c>
      <c r="H1032" s="261">
        <v>193295.53</v>
      </c>
      <c r="I1032" s="261">
        <v>172993.26</v>
      </c>
      <c r="J1032" s="261"/>
      <c r="K1032" s="261">
        <v>20302.27</v>
      </c>
      <c r="L1032" s="357">
        <v>11.574083632322438</v>
      </c>
      <c r="M1032" s="357">
        <v>13.05</v>
      </c>
      <c r="N1032" s="357" t="s">
        <v>135</v>
      </c>
      <c r="O1032" s="357">
        <v>5.8932740007953583</v>
      </c>
      <c r="P1032" s="262"/>
      <c r="Q1032" s="262"/>
      <c r="R1032" s="262">
        <v>23</v>
      </c>
    </row>
    <row r="1033" spans="1:18" ht="48">
      <c r="A1033" s="258">
        <v>61.220999999999997</v>
      </c>
      <c r="B1033" s="251" t="s">
        <v>1781</v>
      </c>
      <c r="C1033" s="259" t="s">
        <v>1782</v>
      </c>
      <c r="D1033" s="260">
        <v>14451.58</v>
      </c>
      <c r="E1033" s="260">
        <v>11003.1</v>
      </c>
      <c r="F1033" s="260">
        <v>3.49</v>
      </c>
      <c r="G1033" s="260">
        <v>3444.99</v>
      </c>
      <c r="H1033" s="261">
        <v>163911.42000000001</v>
      </c>
      <c r="I1033" s="261">
        <v>143595.37</v>
      </c>
      <c r="J1033" s="261">
        <v>13.78</v>
      </c>
      <c r="K1033" s="261">
        <v>20302.27</v>
      </c>
      <c r="L1033" s="357">
        <v>11.342110689627017</v>
      </c>
      <c r="M1033" s="357">
        <v>13.05</v>
      </c>
      <c r="N1033" s="357">
        <v>3.948424068767908</v>
      </c>
      <c r="O1033" s="357">
        <v>5.8932740007953583</v>
      </c>
      <c r="P1033" s="262"/>
      <c r="Q1033" s="262"/>
      <c r="R1033" s="262">
        <v>23</v>
      </c>
    </row>
    <row r="1034" spans="1:18" ht="48">
      <c r="A1034" s="258">
        <v>61.222000000000001</v>
      </c>
      <c r="B1034" s="251" t="s">
        <v>1783</v>
      </c>
      <c r="C1034" s="259" t="s">
        <v>1784</v>
      </c>
      <c r="D1034" s="260">
        <v>16024.29</v>
      </c>
      <c r="E1034" s="260">
        <v>12579.3</v>
      </c>
      <c r="F1034" s="260"/>
      <c r="G1034" s="260">
        <v>3444.99</v>
      </c>
      <c r="H1034" s="261">
        <v>184467.76</v>
      </c>
      <c r="I1034" s="261">
        <v>164165.49</v>
      </c>
      <c r="J1034" s="261"/>
      <c r="K1034" s="261">
        <v>20302.27</v>
      </c>
      <c r="L1034" s="357">
        <v>11.511758711306397</v>
      </c>
      <c r="M1034" s="357">
        <v>13.05</v>
      </c>
      <c r="N1034" s="357" t="s">
        <v>135</v>
      </c>
      <c r="O1034" s="357">
        <v>5.8932740007953583</v>
      </c>
      <c r="P1034" s="262"/>
      <c r="Q1034" s="262"/>
      <c r="R1034" s="262">
        <v>23</v>
      </c>
    </row>
    <row r="1035" spans="1:18" ht="48">
      <c r="A1035" s="258">
        <v>61.222999999999999</v>
      </c>
      <c r="B1035" s="251" t="s">
        <v>1785</v>
      </c>
      <c r="C1035" s="259" t="s">
        <v>1786</v>
      </c>
      <c r="D1035" s="260">
        <v>15702.39</v>
      </c>
      <c r="E1035" s="260">
        <v>12257.4</v>
      </c>
      <c r="F1035" s="260"/>
      <c r="G1035" s="260">
        <v>3444.99</v>
      </c>
      <c r="H1035" s="261">
        <v>180266.82</v>
      </c>
      <c r="I1035" s="261">
        <v>159964.54999999999</v>
      </c>
      <c r="J1035" s="261"/>
      <c r="K1035" s="261">
        <v>20302.27</v>
      </c>
      <c r="L1035" s="357">
        <v>11.480215432173065</v>
      </c>
      <c r="M1035" s="357">
        <v>13.05</v>
      </c>
      <c r="N1035" s="357" t="s">
        <v>135</v>
      </c>
      <c r="O1035" s="357">
        <v>5.8932740007953583</v>
      </c>
      <c r="P1035" s="262"/>
      <c r="Q1035" s="262"/>
      <c r="R1035" s="262">
        <v>23</v>
      </c>
    </row>
    <row r="1036" spans="1:18" ht="48">
      <c r="A1036" s="258">
        <v>61.223999999999997</v>
      </c>
      <c r="B1036" s="251" t="s">
        <v>1787</v>
      </c>
      <c r="C1036" s="259" t="s">
        <v>1788</v>
      </c>
      <c r="D1036" s="260">
        <v>21972.27</v>
      </c>
      <c r="E1036" s="260">
        <v>18001.2</v>
      </c>
      <c r="F1036" s="260">
        <v>3.49</v>
      </c>
      <c r="G1036" s="260">
        <v>3967.58</v>
      </c>
      <c r="H1036" s="261">
        <v>261796.85</v>
      </c>
      <c r="I1036" s="261">
        <v>234923.81</v>
      </c>
      <c r="J1036" s="261">
        <v>13.78</v>
      </c>
      <c r="K1036" s="261">
        <v>26859.26</v>
      </c>
      <c r="L1036" s="357">
        <v>11.914874976504477</v>
      </c>
      <c r="M1036" s="357">
        <v>13.05</v>
      </c>
      <c r="N1036" s="357">
        <v>3.948424068767908</v>
      </c>
      <c r="O1036" s="357">
        <v>6.7696832830087859</v>
      </c>
      <c r="P1036" s="262"/>
      <c r="Q1036" s="262"/>
      <c r="R1036" s="262">
        <v>23</v>
      </c>
    </row>
    <row r="1037" spans="1:18" ht="48">
      <c r="A1037" s="258">
        <v>61.225000000000001</v>
      </c>
      <c r="B1037" s="251" t="s">
        <v>1789</v>
      </c>
      <c r="C1037" s="259" t="s">
        <v>1790</v>
      </c>
      <c r="D1037" s="260">
        <v>24333.08</v>
      </c>
      <c r="E1037" s="260">
        <v>20365.5</v>
      </c>
      <c r="F1037" s="260"/>
      <c r="G1037" s="260">
        <v>3967.58</v>
      </c>
      <c r="H1037" s="261">
        <v>292638.25</v>
      </c>
      <c r="I1037" s="261">
        <v>265778.99</v>
      </c>
      <c r="J1037" s="261"/>
      <c r="K1037" s="261">
        <v>26859.26</v>
      </c>
      <c r="L1037" s="357">
        <v>12.026354657938903</v>
      </c>
      <c r="M1037" s="357">
        <v>13.05</v>
      </c>
      <c r="N1037" s="357" t="s">
        <v>135</v>
      </c>
      <c r="O1037" s="357">
        <v>6.7696832830087859</v>
      </c>
      <c r="P1037" s="262"/>
      <c r="Q1037" s="262"/>
      <c r="R1037" s="262">
        <v>23</v>
      </c>
    </row>
    <row r="1038" spans="1:18" ht="48">
      <c r="A1038" s="258">
        <v>61.225999999999999</v>
      </c>
      <c r="B1038" s="251" t="s">
        <v>1791</v>
      </c>
      <c r="C1038" s="259" t="s">
        <v>1792</v>
      </c>
      <c r="D1038" s="260">
        <v>23855.78</v>
      </c>
      <c r="E1038" s="260">
        <v>19888.2</v>
      </c>
      <c r="F1038" s="260"/>
      <c r="G1038" s="260">
        <v>3967.58</v>
      </c>
      <c r="H1038" s="261">
        <v>286409.27</v>
      </c>
      <c r="I1038" s="261">
        <v>259550.01</v>
      </c>
      <c r="J1038" s="261"/>
      <c r="K1038" s="261">
        <v>26859.26</v>
      </c>
      <c r="L1038" s="357">
        <v>12.005864826050544</v>
      </c>
      <c r="M1038" s="357">
        <v>13.05</v>
      </c>
      <c r="N1038" s="357" t="s">
        <v>135</v>
      </c>
      <c r="O1038" s="357">
        <v>6.7696832830087859</v>
      </c>
      <c r="P1038" s="262"/>
      <c r="Q1038" s="262"/>
      <c r="R1038" s="262">
        <v>23</v>
      </c>
    </row>
    <row r="1039" spans="1:18" ht="48">
      <c r="A1039" s="258">
        <v>61.226999999999997</v>
      </c>
      <c r="B1039" s="251" t="s">
        <v>1793</v>
      </c>
      <c r="C1039" s="259" t="s">
        <v>1794</v>
      </c>
      <c r="D1039" s="260">
        <v>28260.76</v>
      </c>
      <c r="E1039" s="260">
        <v>24289.69</v>
      </c>
      <c r="F1039" s="260">
        <v>3.49</v>
      </c>
      <c r="G1039" s="260">
        <v>3967.58</v>
      </c>
      <c r="H1039" s="261">
        <v>343864.38</v>
      </c>
      <c r="I1039" s="261">
        <v>316991.34000000003</v>
      </c>
      <c r="J1039" s="261">
        <v>13.78</v>
      </c>
      <c r="K1039" s="261">
        <v>26859.26</v>
      </c>
      <c r="L1039" s="357">
        <v>12.167556003447892</v>
      </c>
      <c r="M1039" s="357">
        <v>13.05</v>
      </c>
      <c r="N1039" s="357">
        <v>3.948424068767908</v>
      </c>
      <c r="O1039" s="357">
        <v>6.7696832830087859</v>
      </c>
      <c r="P1039" s="262"/>
      <c r="Q1039" s="262"/>
      <c r="R1039" s="262">
        <v>23</v>
      </c>
    </row>
    <row r="1040" spans="1:18" ht="48">
      <c r="A1040" s="258">
        <v>61.228000000000002</v>
      </c>
      <c r="B1040" s="251" t="s">
        <v>1795</v>
      </c>
      <c r="C1040" s="259" t="s">
        <v>1796</v>
      </c>
      <c r="D1040" s="260">
        <v>31454.07</v>
      </c>
      <c r="E1040" s="260">
        <v>27486.49</v>
      </c>
      <c r="F1040" s="260"/>
      <c r="G1040" s="260">
        <v>3967.58</v>
      </c>
      <c r="H1040" s="261">
        <v>385570.28</v>
      </c>
      <c r="I1040" s="261">
        <v>358711.02</v>
      </c>
      <c r="J1040" s="261"/>
      <c r="K1040" s="261">
        <v>26859.26</v>
      </c>
      <c r="L1040" s="357">
        <v>12.258199972213454</v>
      </c>
      <c r="M1040" s="357">
        <v>13.05</v>
      </c>
      <c r="N1040" s="357" t="s">
        <v>135</v>
      </c>
      <c r="O1040" s="357">
        <v>6.7696832830087859</v>
      </c>
      <c r="P1040" s="262"/>
      <c r="Q1040" s="262"/>
      <c r="R1040" s="262">
        <v>23</v>
      </c>
    </row>
    <row r="1041" spans="1:18" ht="48">
      <c r="A1041" s="263">
        <v>61.228999999999999</v>
      </c>
      <c r="B1041" s="264" t="s">
        <v>1797</v>
      </c>
      <c r="C1041" s="265" t="s">
        <v>1798</v>
      </c>
      <c r="D1041" s="266">
        <v>30810.27</v>
      </c>
      <c r="E1041" s="266">
        <v>26842.69</v>
      </c>
      <c r="F1041" s="266"/>
      <c r="G1041" s="266">
        <v>3967.58</v>
      </c>
      <c r="H1041" s="267">
        <v>377168.4</v>
      </c>
      <c r="I1041" s="267">
        <v>350309.14</v>
      </c>
      <c r="J1041" s="267"/>
      <c r="K1041" s="267">
        <v>26859.26</v>
      </c>
      <c r="L1041" s="356">
        <v>12.241645399407407</v>
      </c>
      <c r="M1041" s="356">
        <v>13.05</v>
      </c>
      <c r="N1041" s="356" t="s">
        <v>135</v>
      </c>
      <c r="O1041" s="356">
        <v>6.7696832830087859</v>
      </c>
      <c r="P1041" s="268"/>
      <c r="Q1041" s="268"/>
      <c r="R1041" s="268">
        <v>23</v>
      </c>
    </row>
    <row r="1042" spans="1:18" ht="12.75">
      <c r="A1042" s="428" t="s">
        <v>1799</v>
      </c>
      <c r="B1042" s="429"/>
      <c r="C1042" s="429"/>
      <c r="D1042" s="429"/>
      <c r="E1042" s="429"/>
      <c r="F1042" s="429"/>
      <c r="G1042" s="429"/>
      <c r="H1042" s="429"/>
      <c r="I1042" s="429"/>
      <c r="J1042" s="429"/>
      <c r="K1042" s="429"/>
      <c r="L1042" s="429"/>
      <c r="M1042" s="429"/>
      <c r="N1042" s="429"/>
      <c r="O1042" s="429"/>
      <c r="P1042" s="429"/>
      <c r="Q1042" s="429"/>
      <c r="R1042" s="429"/>
    </row>
    <row r="1043" spans="1:18" ht="24">
      <c r="A1043" s="263">
        <v>61.23</v>
      </c>
      <c r="B1043" s="264" t="s">
        <v>1800</v>
      </c>
      <c r="C1043" s="265" t="s">
        <v>1801</v>
      </c>
      <c r="D1043" s="266">
        <v>5762.79</v>
      </c>
      <c r="E1043" s="266">
        <v>800.22</v>
      </c>
      <c r="F1043" s="266">
        <v>103.38</v>
      </c>
      <c r="G1043" s="266">
        <v>4859.1899999999996</v>
      </c>
      <c r="H1043" s="267">
        <v>25846.95</v>
      </c>
      <c r="I1043" s="267">
        <v>10443.06</v>
      </c>
      <c r="J1043" s="267">
        <v>1124.98</v>
      </c>
      <c r="K1043" s="267">
        <v>14278.91</v>
      </c>
      <c r="L1043" s="356">
        <v>4.4851452161192755</v>
      </c>
      <c r="M1043" s="356">
        <v>13.05</v>
      </c>
      <c r="N1043" s="356">
        <v>10.881988779260979</v>
      </c>
      <c r="O1043" s="356">
        <v>2.9385370812830947</v>
      </c>
      <c r="P1043" s="268"/>
      <c r="Q1043" s="268"/>
      <c r="R1043" s="268">
        <v>24</v>
      </c>
    </row>
    <row r="1044" spans="1:18" ht="12.75">
      <c r="A1044" s="428" t="s">
        <v>1802</v>
      </c>
      <c r="B1044" s="429"/>
      <c r="C1044" s="429"/>
      <c r="D1044" s="429"/>
      <c r="E1044" s="429"/>
      <c r="F1044" s="429"/>
      <c r="G1044" s="429"/>
      <c r="H1044" s="429"/>
      <c r="I1044" s="429"/>
      <c r="J1044" s="429"/>
      <c r="K1044" s="429"/>
      <c r="L1044" s="429"/>
      <c r="M1044" s="429"/>
      <c r="N1044" s="429"/>
      <c r="O1044" s="429"/>
      <c r="P1044" s="429"/>
      <c r="Q1044" s="429"/>
      <c r="R1044" s="429"/>
    </row>
    <row r="1045" spans="1:18" ht="24">
      <c r="A1045" s="258">
        <v>61.231000000000002</v>
      </c>
      <c r="B1045" s="251" t="s">
        <v>1803</v>
      </c>
      <c r="C1045" s="259" t="s">
        <v>1804</v>
      </c>
      <c r="D1045" s="260">
        <v>1159.1199999999999</v>
      </c>
      <c r="E1045" s="260">
        <v>193.93</v>
      </c>
      <c r="F1045" s="260">
        <v>958.69</v>
      </c>
      <c r="G1045" s="260">
        <v>6.5</v>
      </c>
      <c r="H1045" s="261">
        <v>10525.77</v>
      </c>
      <c r="I1045" s="261">
        <v>2530.8200000000002</v>
      </c>
      <c r="J1045" s="261">
        <v>7929.17</v>
      </c>
      <c r="K1045" s="261">
        <v>65.78</v>
      </c>
      <c r="L1045" s="357">
        <v>9.0808285595969362</v>
      </c>
      <c r="M1045" s="357">
        <v>13.05</v>
      </c>
      <c r="N1045" s="357">
        <v>8.2708383314731559</v>
      </c>
      <c r="O1045" s="357">
        <v>10.120000000000001</v>
      </c>
      <c r="P1045" s="262"/>
      <c r="Q1045" s="262"/>
      <c r="R1045" s="262">
        <v>25</v>
      </c>
    </row>
    <row r="1046" spans="1:18" ht="24">
      <c r="A1046" s="258">
        <v>61.231999999999999</v>
      </c>
      <c r="B1046" s="251" t="s">
        <v>1805</v>
      </c>
      <c r="C1046" s="259" t="s">
        <v>1806</v>
      </c>
      <c r="D1046" s="260">
        <v>1443.47</v>
      </c>
      <c r="E1046" s="260">
        <v>241.75</v>
      </c>
      <c r="F1046" s="260">
        <v>1195.22</v>
      </c>
      <c r="G1046" s="260">
        <v>6.5</v>
      </c>
      <c r="H1046" s="261">
        <v>13106.17</v>
      </c>
      <c r="I1046" s="261">
        <v>3154.9</v>
      </c>
      <c r="J1046" s="261">
        <v>9885.49</v>
      </c>
      <c r="K1046" s="261">
        <v>65.78</v>
      </c>
      <c r="L1046" s="357">
        <v>9.0796275641336504</v>
      </c>
      <c r="M1046" s="357">
        <v>13.05</v>
      </c>
      <c r="N1046" s="357">
        <v>8.2708539013738047</v>
      </c>
      <c r="O1046" s="357">
        <v>10.120000000000001</v>
      </c>
      <c r="P1046" s="262"/>
      <c r="Q1046" s="262"/>
      <c r="R1046" s="262">
        <v>25</v>
      </c>
    </row>
    <row r="1047" spans="1:18" ht="24">
      <c r="A1047" s="258">
        <v>61.232999999999997</v>
      </c>
      <c r="B1047" s="251" t="s">
        <v>1807</v>
      </c>
      <c r="C1047" s="259" t="s">
        <v>1808</v>
      </c>
      <c r="D1047" s="260">
        <v>1385.48</v>
      </c>
      <c r="E1047" s="260">
        <v>231.91</v>
      </c>
      <c r="F1047" s="260">
        <v>1147.07</v>
      </c>
      <c r="G1047" s="260">
        <v>6.5</v>
      </c>
      <c r="H1047" s="261">
        <v>12579.57</v>
      </c>
      <c r="I1047" s="261">
        <v>3026.49</v>
      </c>
      <c r="J1047" s="261">
        <v>9487.2999999999993</v>
      </c>
      <c r="K1047" s="261">
        <v>65.78</v>
      </c>
      <c r="L1047" s="357">
        <v>9.0795753096399796</v>
      </c>
      <c r="M1047" s="357">
        <v>13.05</v>
      </c>
      <c r="N1047" s="357">
        <v>8.2708988989338046</v>
      </c>
      <c r="O1047" s="357">
        <v>10.120000000000001</v>
      </c>
      <c r="P1047" s="262"/>
      <c r="Q1047" s="262"/>
      <c r="R1047" s="262">
        <v>25</v>
      </c>
    </row>
    <row r="1048" spans="1:18" ht="24">
      <c r="A1048" s="258">
        <v>61.234000000000002</v>
      </c>
      <c r="B1048" s="251" t="s">
        <v>1809</v>
      </c>
      <c r="C1048" s="259" t="s">
        <v>1810</v>
      </c>
      <c r="D1048" s="260">
        <v>1385.48</v>
      </c>
      <c r="E1048" s="260">
        <v>231.91</v>
      </c>
      <c r="F1048" s="260">
        <v>1147.07</v>
      </c>
      <c r="G1048" s="260">
        <v>6.5</v>
      </c>
      <c r="H1048" s="261">
        <v>12579.57</v>
      </c>
      <c r="I1048" s="261">
        <v>3026.49</v>
      </c>
      <c r="J1048" s="261">
        <v>9487.2999999999993</v>
      </c>
      <c r="K1048" s="261">
        <v>65.78</v>
      </c>
      <c r="L1048" s="357">
        <v>9.0795753096399796</v>
      </c>
      <c r="M1048" s="357">
        <v>13.05</v>
      </c>
      <c r="N1048" s="357">
        <v>8.2708988989338046</v>
      </c>
      <c r="O1048" s="357">
        <v>10.120000000000001</v>
      </c>
      <c r="P1048" s="262"/>
      <c r="Q1048" s="262"/>
      <c r="R1048" s="262">
        <v>25</v>
      </c>
    </row>
    <row r="1049" spans="1:18" ht="24">
      <c r="A1049" s="258">
        <v>61.234999999999999</v>
      </c>
      <c r="B1049" s="251" t="s">
        <v>1811</v>
      </c>
      <c r="C1049" s="259" t="s">
        <v>1812</v>
      </c>
      <c r="D1049" s="260">
        <v>1728.98</v>
      </c>
      <c r="E1049" s="260">
        <v>289.68</v>
      </c>
      <c r="F1049" s="260">
        <v>1432.8</v>
      </c>
      <c r="G1049" s="260">
        <v>6.5</v>
      </c>
      <c r="H1049" s="261">
        <v>15696.62</v>
      </c>
      <c r="I1049" s="261">
        <v>3780.36</v>
      </c>
      <c r="J1049" s="261">
        <v>11850.48</v>
      </c>
      <c r="K1049" s="261">
        <v>65.78</v>
      </c>
      <c r="L1049" s="357">
        <v>9.0785434186630276</v>
      </c>
      <c r="M1049" s="357">
        <v>13.05</v>
      </c>
      <c r="N1049" s="357">
        <v>8.2708542713567841</v>
      </c>
      <c r="O1049" s="357">
        <v>10.120000000000001</v>
      </c>
      <c r="P1049" s="262"/>
      <c r="Q1049" s="262"/>
      <c r="R1049" s="262">
        <v>25</v>
      </c>
    </row>
    <row r="1050" spans="1:18" ht="24">
      <c r="A1050" s="263">
        <v>61.235999999999997</v>
      </c>
      <c r="B1050" s="264" t="s">
        <v>1813</v>
      </c>
      <c r="C1050" s="265" t="s">
        <v>1814</v>
      </c>
      <c r="D1050" s="266">
        <v>1661.35</v>
      </c>
      <c r="E1050" s="266">
        <v>278.57</v>
      </c>
      <c r="F1050" s="266">
        <v>1376.28</v>
      </c>
      <c r="G1050" s="266">
        <v>6.5</v>
      </c>
      <c r="H1050" s="267">
        <v>15084.2</v>
      </c>
      <c r="I1050" s="267">
        <v>3635.38</v>
      </c>
      <c r="J1050" s="267">
        <v>11383.04</v>
      </c>
      <c r="K1050" s="267">
        <v>65.78</v>
      </c>
      <c r="L1050" s="356">
        <v>9.0794835525325794</v>
      </c>
      <c r="M1050" s="356">
        <v>13.05</v>
      </c>
      <c r="N1050" s="356">
        <v>8.2708751126224325</v>
      </c>
      <c r="O1050" s="356">
        <v>10.120000000000001</v>
      </c>
      <c r="P1050" s="268"/>
      <c r="Q1050" s="268"/>
      <c r="R1050" s="268">
        <v>25</v>
      </c>
    </row>
    <row r="1051" spans="1:18" ht="12.75">
      <c r="A1051" s="428" t="s">
        <v>1815</v>
      </c>
      <c r="B1051" s="429"/>
      <c r="C1051" s="429"/>
      <c r="D1051" s="429"/>
      <c r="E1051" s="429"/>
      <c r="F1051" s="429"/>
      <c r="G1051" s="429"/>
      <c r="H1051" s="429"/>
      <c r="I1051" s="429"/>
      <c r="J1051" s="429"/>
      <c r="K1051" s="429"/>
      <c r="L1051" s="429"/>
      <c r="M1051" s="429"/>
      <c r="N1051" s="429"/>
      <c r="O1051" s="429"/>
      <c r="P1051" s="429"/>
      <c r="Q1051" s="429"/>
      <c r="R1051" s="429"/>
    </row>
    <row r="1052" spans="1:18">
      <c r="A1052" s="258">
        <v>61.237000000000002</v>
      </c>
      <c r="B1052" s="251" t="s">
        <v>1816</v>
      </c>
      <c r="C1052" s="259" t="s">
        <v>1817</v>
      </c>
      <c r="D1052" s="260">
        <v>312.89999999999998</v>
      </c>
      <c r="E1052" s="260">
        <v>289.68</v>
      </c>
      <c r="F1052" s="260">
        <v>3.66</v>
      </c>
      <c r="G1052" s="260">
        <v>19.559999999999999</v>
      </c>
      <c r="H1052" s="261">
        <v>3937.89</v>
      </c>
      <c r="I1052" s="261">
        <v>3780.47</v>
      </c>
      <c r="J1052" s="261">
        <v>27.79</v>
      </c>
      <c r="K1052" s="261">
        <v>129.63</v>
      </c>
      <c r="L1052" s="357">
        <v>12.585139022051774</v>
      </c>
      <c r="M1052" s="357">
        <v>13.05</v>
      </c>
      <c r="N1052" s="357">
        <v>7.5928961748633874</v>
      </c>
      <c r="O1052" s="357">
        <v>6.6273006134969323</v>
      </c>
      <c r="P1052" s="262"/>
      <c r="Q1052" s="262"/>
      <c r="R1052" s="262">
        <v>26</v>
      </c>
    </row>
    <row r="1053" spans="1:18" ht="24">
      <c r="A1053" s="258">
        <v>61.238</v>
      </c>
      <c r="B1053" s="251" t="s">
        <v>1818</v>
      </c>
      <c r="C1053" s="259" t="s">
        <v>1819</v>
      </c>
      <c r="D1053" s="260">
        <v>386.19</v>
      </c>
      <c r="E1053" s="260">
        <v>368.73</v>
      </c>
      <c r="F1053" s="260">
        <v>0.2</v>
      </c>
      <c r="G1053" s="260">
        <v>17.260000000000002</v>
      </c>
      <c r="H1053" s="261">
        <v>4927.3</v>
      </c>
      <c r="I1053" s="261">
        <v>4812.12</v>
      </c>
      <c r="J1053" s="261">
        <v>0.77</v>
      </c>
      <c r="K1053" s="261">
        <v>114.41</v>
      </c>
      <c r="L1053" s="357">
        <v>12.758745695124162</v>
      </c>
      <c r="M1053" s="357">
        <v>13.05</v>
      </c>
      <c r="N1053" s="357">
        <v>3.85</v>
      </c>
      <c r="O1053" s="357">
        <v>6.6286210892236372</v>
      </c>
      <c r="P1053" s="262"/>
      <c r="Q1053" s="262"/>
      <c r="R1053" s="262">
        <v>26</v>
      </c>
    </row>
    <row r="1054" spans="1:18" ht="24">
      <c r="A1054" s="258">
        <v>61.238999999999997</v>
      </c>
      <c r="B1054" s="251" t="s">
        <v>1820</v>
      </c>
      <c r="C1054" s="259" t="s">
        <v>1821</v>
      </c>
      <c r="D1054" s="260">
        <v>473.4</v>
      </c>
      <c r="E1054" s="260">
        <v>456.14</v>
      </c>
      <c r="F1054" s="260"/>
      <c r="G1054" s="260">
        <v>17.260000000000002</v>
      </c>
      <c r="H1054" s="261">
        <v>6067.27</v>
      </c>
      <c r="I1054" s="261">
        <v>5952.86</v>
      </c>
      <c r="J1054" s="261"/>
      <c r="K1054" s="261">
        <v>114.41</v>
      </c>
      <c r="L1054" s="357">
        <v>12.816370933671315</v>
      </c>
      <c r="M1054" s="357">
        <v>13.05</v>
      </c>
      <c r="N1054" s="357" t="s">
        <v>135</v>
      </c>
      <c r="O1054" s="357">
        <v>6.6286210892236372</v>
      </c>
      <c r="P1054" s="262"/>
      <c r="Q1054" s="262"/>
      <c r="R1054" s="262">
        <v>26</v>
      </c>
    </row>
    <row r="1055" spans="1:18">
      <c r="A1055" s="258">
        <v>61.24</v>
      </c>
      <c r="B1055" s="251" t="s">
        <v>1822</v>
      </c>
      <c r="C1055" s="259" t="s">
        <v>1823</v>
      </c>
      <c r="D1055" s="260">
        <v>461.43</v>
      </c>
      <c r="E1055" s="260">
        <v>444.17</v>
      </c>
      <c r="F1055" s="260"/>
      <c r="G1055" s="260">
        <v>17.260000000000002</v>
      </c>
      <c r="H1055" s="261">
        <v>5911.04</v>
      </c>
      <c r="I1055" s="261">
        <v>5796.63</v>
      </c>
      <c r="J1055" s="261"/>
      <c r="K1055" s="261">
        <v>114.41</v>
      </c>
      <c r="L1055" s="357">
        <v>12.810263745313481</v>
      </c>
      <c r="M1055" s="357">
        <v>13.05</v>
      </c>
      <c r="N1055" s="357" t="s">
        <v>135</v>
      </c>
      <c r="O1055" s="357">
        <v>6.6286210892236372</v>
      </c>
      <c r="P1055" s="262"/>
      <c r="Q1055" s="262"/>
      <c r="R1055" s="262">
        <v>26</v>
      </c>
    </row>
    <row r="1056" spans="1:18" ht="24">
      <c r="A1056" s="258">
        <v>61.241</v>
      </c>
      <c r="B1056" s="251" t="s">
        <v>1824</v>
      </c>
      <c r="C1056" s="259" t="s">
        <v>1825</v>
      </c>
      <c r="D1056" s="260">
        <v>511.89</v>
      </c>
      <c r="E1056" s="260">
        <v>494.43</v>
      </c>
      <c r="F1056" s="260">
        <v>0.2</v>
      </c>
      <c r="G1056" s="260">
        <v>17.260000000000002</v>
      </c>
      <c r="H1056" s="261">
        <v>6567.7</v>
      </c>
      <c r="I1056" s="261">
        <v>6452.52</v>
      </c>
      <c r="J1056" s="261">
        <v>0.77</v>
      </c>
      <c r="K1056" s="261">
        <v>114.41</v>
      </c>
      <c r="L1056" s="357">
        <v>12.830295571314149</v>
      </c>
      <c r="M1056" s="357">
        <v>13.05</v>
      </c>
      <c r="N1056" s="357">
        <v>3.85</v>
      </c>
      <c r="O1056" s="357">
        <v>6.6286210892236372</v>
      </c>
      <c r="P1056" s="262"/>
      <c r="Q1056" s="262"/>
      <c r="R1056" s="262">
        <v>26</v>
      </c>
    </row>
    <row r="1057" spans="1:18" ht="24">
      <c r="A1057" s="258">
        <v>61.241999999999997</v>
      </c>
      <c r="B1057" s="251" t="s">
        <v>1826</v>
      </c>
      <c r="C1057" s="259" t="s">
        <v>1827</v>
      </c>
      <c r="D1057" s="260">
        <v>637.29</v>
      </c>
      <c r="E1057" s="260">
        <v>620.03</v>
      </c>
      <c r="F1057" s="260"/>
      <c r="G1057" s="260">
        <v>17.260000000000002</v>
      </c>
      <c r="H1057" s="261">
        <v>8205.98</v>
      </c>
      <c r="I1057" s="261">
        <v>8091.57</v>
      </c>
      <c r="J1057" s="261"/>
      <c r="K1057" s="261">
        <v>114.41</v>
      </c>
      <c r="L1057" s="357">
        <v>12.876367117011094</v>
      </c>
      <c r="M1057" s="357">
        <v>13.05</v>
      </c>
      <c r="N1057" s="357" t="s">
        <v>135</v>
      </c>
      <c r="O1057" s="357">
        <v>6.6286210892236372</v>
      </c>
      <c r="P1057" s="262"/>
      <c r="Q1057" s="262"/>
      <c r="R1057" s="262">
        <v>26</v>
      </c>
    </row>
    <row r="1058" spans="1:18" ht="24">
      <c r="A1058" s="263">
        <v>61.243000000000002</v>
      </c>
      <c r="B1058" s="264" t="s">
        <v>1828</v>
      </c>
      <c r="C1058" s="265" t="s">
        <v>1829</v>
      </c>
      <c r="D1058" s="266">
        <v>612.21</v>
      </c>
      <c r="E1058" s="266">
        <v>594.95000000000005</v>
      </c>
      <c r="F1058" s="266"/>
      <c r="G1058" s="266">
        <v>17.260000000000002</v>
      </c>
      <c r="H1058" s="267">
        <v>7878.71</v>
      </c>
      <c r="I1058" s="267">
        <v>7764.3</v>
      </c>
      <c r="J1058" s="267"/>
      <c r="K1058" s="267">
        <v>114.41</v>
      </c>
      <c r="L1058" s="356">
        <v>12.869293216379999</v>
      </c>
      <c r="M1058" s="356">
        <v>13.05</v>
      </c>
      <c r="N1058" s="356" t="s">
        <v>135</v>
      </c>
      <c r="O1058" s="356">
        <v>6.6286210892236372</v>
      </c>
      <c r="P1058" s="268"/>
      <c r="Q1058" s="268"/>
      <c r="R1058" s="268">
        <v>26</v>
      </c>
    </row>
    <row r="1059" spans="1:18" ht="12.75">
      <c r="A1059" s="428" t="s">
        <v>1830</v>
      </c>
      <c r="B1059" s="429"/>
      <c r="C1059" s="429"/>
      <c r="D1059" s="429"/>
      <c r="E1059" s="429"/>
      <c r="F1059" s="429"/>
      <c r="G1059" s="429"/>
      <c r="H1059" s="429"/>
      <c r="I1059" s="429"/>
      <c r="J1059" s="429"/>
      <c r="K1059" s="429"/>
      <c r="L1059" s="429"/>
      <c r="M1059" s="429"/>
      <c r="N1059" s="429"/>
      <c r="O1059" s="429"/>
      <c r="P1059" s="429"/>
      <c r="Q1059" s="429"/>
      <c r="R1059" s="429"/>
    </row>
    <row r="1060" spans="1:18" ht="48">
      <c r="A1060" s="258">
        <v>61.244</v>
      </c>
      <c r="B1060" s="251" t="s">
        <v>1831</v>
      </c>
      <c r="C1060" s="259" t="s">
        <v>1832</v>
      </c>
      <c r="D1060" s="260">
        <v>629.42999999999995</v>
      </c>
      <c r="E1060" s="260">
        <v>308.24</v>
      </c>
      <c r="F1060" s="260">
        <v>321.19</v>
      </c>
      <c r="G1060" s="260"/>
      <c r="H1060" s="261">
        <v>6569.68</v>
      </c>
      <c r="I1060" s="261">
        <v>4022.32</v>
      </c>
      <c r="J1060" s="261">
        <v>2547.36</v>
      </c>
      <c r="K1060" s="261"/>
      <c r="L1060" s="357">
        <v>10.437506950733205</v>
      </c>
      <c r="M1060" s="357">
        <v>13.05</v>
      </c>
      <c r="N1060" s="357">
        <v>7.9310065693203402</v>
      </c>
      <c r="O1060" s="357" t="s">
        <v>135</v>
      </c>
      <c r="P1060" s="262"/>
      <c r="Q1060" s="262"/>
      <c r="R1060" s="262">
        <v>27</v>
      </c>
    </row>
    <row r="1061" spans="1:18" ht="48">
      <c r="A1061" s="258">
        <v>61.244999999999997</v>
      </c>
      <c r="B1061" s="251" t="s">
        <v>1833</v>
      </c>
      <c r="C1061" s="259" t="s">
        <v>1834</v>
      </c>
      <c r="D1061" s="260">
        <v>1131.04</v>
      </c>
      <c r="E1061" s="260">
        <v>544.91999999999996</v>
      </c>
      <c r="F1061" s="260">
        <v>586.12</v>
      </c>
      <c r="G1061" s="260"/>
      <c r="H1061" s="261">
        <v>11759.41</v>
      </c>
      <c r="I1061" s="261">
        <v>7110.89</v>
      </c>
      <c r="J1061" s="261">
        <v>4648.5200000000004</v>
      </c>
      <c r="K1061" s="261"/>
      <c r="L1061" s="357">
        <v>10.396988612250672</v>
      </c>
      <c r="M1061" s="357">
        <v>13.05</v>
      </c>
      <c r="N1061" s="357">
        <v>7.931003889988399</v>
      </c>
      <c r="O1061" s="357" t="s">
        <v>135</v>
      </c>
      <c r="P1061" s="262"/>
      <c r="Q1061" s="262"/>
      <c r="R1061" s="262">
        <v>27</v>
      </c>
    </row>
    <row r="1062" spans="1:18" ht="48">
      <c r="A1062" s="258">
        <v>61.246000000000002</v>
      </c>
      <c r="B1062" s="251" t="s">
        <v>1835</v>
      </c>
      <c r="C1062" s="259" t="s">
        <v>1836</v>
      </c>
      <c r="D1062" s="260">
        <v>764.01</v>
      </c>
      <c r="E1062" s="260">
        <v>374.29</v>
      </c>
      <c r="F1062" s="260">
        <v>389.72</v>
      </c>
      <c r="G1062" s="260"/>
      <c r="H1062" s="261">
        <v>7975.15</v>
      </c>
      <c r="I1062" s="261">
        <v>4884.25</v>
      </c>
      <c r="J1062" s="261">
        <v>3090.9</v>
      </c>
      <c r="K1062" s="261"/>
      <c r="L1062" s="357">
        <v>10.438541380348424</v>
      </c>
      <c r="M1062" s="357">
        <v>13.05</v>
      </c>
      <c r="N1062" s="357">
        <v>7.9310787231858768</v>
      </c>
      <c r="O1062" s="357" t="s">
        <v>135</v>
      </c>
      <c r="P1062" s="262"/>
      <c r="Q1062" s="262"/>
      <c r="R1062" s="262">
        <v>27</v>
      </c>
    </row>
    <row r="1063" spans="1:18" ht="48">
      <c r="A1063" s="263">
        <v>61.247</v>
      </c>
      <c r="B1063" s="264" t="s">
        <v>1837</v>
      </c>
      <c r="C1063" s="265" t="s">
        <v>1838</v>
      </c>
      <c r="D1063" s="266">
        <v>1375.9</v>
      </c>
      <c r="E1063" s="266">
        <v>666.01</v>
      </c>
      <c r="F1063" s="266">
        <v>709.89</v>
      </c>
      <c r="G1063" s="266"/>
      <c r="H1063" s="267">
        <v>14321.23</v>
      </c>
      <c r="I1063" s="267">
        <v>8691.09</v>
      </c>
      <c r="J1063" s="267">
        <v>5630.14</v>
      </c>
      <c r="K1063" s="267"/>
      <c r="L1063" s="356">
        <v>10.408627080456428</v>
      </c>
      <c r="M1063" s="356">
        <v>13.05</v>
      </c>
      <c r="N1063" s="356">
        <v>7.9310033948921674</v>
      </c>
      <c r="O1063" s="356" t="s">
        <v>135</v>
      </c>
      <c r="P1063" s="268"/>
      <c r="Q1063" s="268"/>
      <c r="R1063" s="268">
        <v>27</v>
      </c>
    </row>
    <row r="1064" spans="1:18" ht="12.75">
      <c r="A1064" s="428" t="s">
        <v>1839</v>
      </c>
      <c r="B1064" s="429"/>
      <c r="C1064" s="429"/>
      <c r="D1064" s="429"/>
      <c r="E1064" s="429"/>
      <c r="F1064" s="429"/>
      <c r="G1064" s="429"/>
      <c r="H1064" s="429"/>
      <c r="I1064" s="429"/>
      <c r="J1064" s="429"/>
      <c r="K1064" s="429"/>
      <c r="L1064" s="429"/>
      <c r="M1064" s="429"/>
      <c r="N1064" s="429"/>
      <c r="O1064" s="429"/>
      <c r="P1064" s="429"/>
      <c r="Q1064" s="429"/>
      <c r="R1064" s="429"/>
    </row>
    <row r="1065" spans="1:18" ht="36">
      <c r="A1065" s="258">
        <v>61.247999999999998</v>
      </c>
      <c r="B1065" s="251" t="s">
        <v>1840</v>
      </c>
      <c r="C1065" s="259" t="s">
        <v>1841</v>
      </c>
      <c r="D1065" s="260">
        <v>4557.96</v>
      </c>
      <c r="E1065" s="260">
        <v>760.51</v>
      </c>
      <c r="F1065" s="260">
        <v>13.83</v>
      </c>
      <c r="G1065" s="260">
        <v>3783.62</v>
      </c>
      <c r="H1065" s="261">
        <v>29862.19</v>
      </c>
      <c r="I1065" s="261">
        <v>9925.01</v>
      </c>
      <c r="J1065" s="261">
        <v>69.75</v>
      </c>
      <c r="K1065" s="261">
        <v>19867.43</v>
      </c>
      <c r="L1065" s="357">
        <v>6.5516568815873768</v>
      </c>
      <c r="M1065" s="357">
        <v>13.05</v>
      </c>
      <c r="N1065" s="357">
        <v>5.0433839479392626</v>
      </c>
      <c r="O1065" s="357">
        <v>5.2509052177544255</v>
      </c>
      <c r="P1065" s="262"/>
      <c r="Q1065" s="262"/>
      <c r="R1065" s="262">
        <v>28</v>
      </c>
    </row>
    <row r="1066" spans="1:18" ht="36">
      <c r="A1066" s="258">
        <v>61.249000000000002</v>
      </c>
      <c r="B1066" s="251" t="s">
        <v>1842</v>
      </c>
      <c r="C1066" s="259" t="s">
        <v>1843</v>
      </c>
      <c r="D1066" s="260">
        <v>4149.9799999999996</v>
      </c>
      <c r="E1066" s="260">
        <v>484.64</v>
      </c>
      <c r="F1066" s="260">
        <v>10.69</v>
      </c>
      <c r="G1066" s="260">
        <v>3654.65</v>
      </c>
      <c r="H1066" s="261">
        <v>25388.400000000001</v>
      </c>
      <c r="I1066" s="261">
        <v>6324.76</v>
      </c>
      <c r="J1066" s="261">
        <v>53.84</v>
      </c>
      <c r="K1066" s="261">
        <v>19009.8</v>
      </c>
      <c r="L1066" s="357">
        <v>6.1177162299577361</v>
      </c>
      <c r="M1066" s="357">
        <v>13.05</v>
      </c>
      <c r="N1066" s="357">
        <v>5.0364826941066418</v>
      </c>
      <c r="O1066" s="357">
        <v>5.2015377669544272</v>
      </c>
      <c r="P1066" s="262"/>
      <c r="Q1066" s="262"/>
      <c r="R1066" s="262">
        <v>28</v>
      </c>
    </row>
    <row r="1067" spans="1:18" ht="48">
      <c r="A1067" s="258">
        <v>61.25</v>
      </c>
      <c r="B1067" s="251" t="s">
        <v>1844</v>
      </c>
      <c r="C1067" s="259" t="s">
        <v>1845</v>
      </c>
      <c r="D1067" s="260">
        <v>4401.8999999999996</v>
      </c>
      <c r="E1067" s="260">
        <v>663.02</v>
      </c>
      <c r="F1067" s="260">
        <v>16.98</v>
      </c>
      <c r="G1067" s="260">
        <v>3721.9</v>
      </c>
      <c r="H1067" s="261">
        <v>28193.91</v>
      </c>
      <c r="I1067" s="261">
        <v>8652.76</v>
      </c>
      <c r="J1067" s="261">
        <v>85.67</v>
      </c>
      <c r="K1067" s="261">
        <v>19455.48</v>
      </c>
      <c r="L1067" s="357">
        <v>6.4049410481837397</v>
      </c>
      <c r="M1067" s="357">
        <v>13.05</v>
      </c>
      <c r="N1067" s="357">
        <v>5.045347467608952</v>
      </c>
      <c r="O1067" s="357">
        <v>5.2272978854885945</v>
      </c>
      <c r="P1067" s="262"/>
      <c r="Q1067" s="262"/>
      <c r="R1067" s="262">
        <v>28</v>
      </c>
    </row>
    <row r="1068" spans="1:18">
      <c r="A1068" s="258">
        <v>61.250999999999998</v>
      </c>
      <c r="B1068" s="251" t="s">
        <v>1846</v>
      </c>
      <c r="C1068" s="259" t="s">
        <v>1847</v>
      </c>
      <c r="D1068" s="260">
        <v>3770.23</v>
      </c>
      <c r="E1068" s="260">
        <v>244.18</v>
      </c>
      <c r="F1068" s="260">
        <v>8.49</v>
      </c>
      <c r="G1068" s="260">
        <v>3517.56</v>
      </c>
      <c r="H1068" s="261">
        <v>21463.19</v>
      </c>
      <c r="I1068" s="261">
        <v>3186.71</v>
      </c>
      <c r="J1068" s="261">
        <v>42.84</v>
      </c>
      <c r="K1068" s="261">
        <v>18233.64</v>
      </c>
      <c r="L1068" s="357">
        <v>5.6928065396540788</v>
      </c>
      <c r="M1068" s="357">
        <v>13.05</v>
      </c>
      <c r="N1068" s="357">
        <v>5.0459363957597176</v>
      </c>
      <c r="O1068" s="357">
        <v>5.1836045440589498</v>
      </c>
      <c r="P1068" s="262"/>
      <c r="Q1068" s="262"/>
      <c r="R1068" s="262">
        <v>28</v>
      </c>
    </row>
    <row r="1069" spans="1:18" ht="36">
      <c r="A1069" s="258">
        <v>61.252000000000002</v>
      </c>
      <c r="B1069" s="251" t="s">
        <v>1848</v>
      </c>
      <c r="C1069" s="259" t="s">
        <v>1849</v>
      </c>
      <c r="D1069" s="260">
        <v>4557.8500000000004</v>
      </c>
      <c r="E1069" s="260">
        <v>576.72</v>
      </c>
      <c r="F1069" s="260">
        <v>47.6</v>
      </c>
      <c r="G1069" s="260">
        <v>3933.53</v>
      </c>
      <c r="H1069" s="261">
        <v>28557.11</v>
      </c>
      <c r="I1069" s="261">
        <v>7526.2</v>
      </c>
      <c r="J1069" s="261">
        <v>240.34</v>
      </c>
      <c r="K1069" s="261">
        <v>20790.57</v>
      </c>
      <c r="L1069" s="357">
        <v>6.2654782408372363</v>
      </c>
      <c r="M1069" s="357">
        <v>13.05</v>
      </c>
      <c r="N1069" s="357">
        <v>5.049159663865546</v>
      </c>
      <c r="O1069" s="357">
        <v>5.2854738619001251</v>
      </c>
      <c r="P1069" s="262"/>
      <c r="Q1069" s="262"/>
      <c r="R1069" s="262">
        <v>28</v>
      </c>
    </row>
    <row r="1070" spans="1:18" ht="36">
      <c r="A1070" s="258">
        <v>61.253</v>
      </c>
      <c r="B1070" s="251" t="s">
        <v>1850</v>
      </c>
      <c r="C1070" s="259" t="s">
        <v>1851</v>
      </c>
      <c r="D1070" s="260">
        <v>4657.3100000000004</v>
      </c>
      <c r="E1070" s="260">
        <v>651.44000000000005</v>
      </c>
      <c r="F1070" s="260">
        <v>49.7</v>
      </c>
      <c r="G1070" s="260">
        <v>3956.17</v>
      </c>
      <c r="H1070" s="261">
        <v>29675.599999999999</v>
      </c>
      <c r="I1070" s="261">
        <v>8501.36</v>
      </c>
      <c r="J1070" s="261">
        <v>250.96</v>
      </c>
      <c r="K1070" s="261">
        <v>20923.28</v>
      </c>
      <c r="L1070" s="357">
        <v>6.3718326673551893</v>
      </c>
      <c r="M1070" s="357">
        <v>13.05</v>
      </c>
      <c r="N1070" s="357">
        <v>5.0494969818913482</v>
      </c>
      <c r="O1070" s="357">
        <v>5.2887717160789345</v>
      </c>
      <c r="P1070" s="262"/>
      <c r="Q1070" s="262"/>
      <c r="R1070" s="262">
        <v>28</v>
      </c>
    </row>
    <row r="1071" spans="1:18" ht="60">
      <c r="A1071" s="258">
        <v>61.253999999999998</v>
      </c>
      <c r="B1071" s="251" t="s">
        <v>1852</v>
      </c>
      <c r="C1071" s="259" t="s">
        <v>1853</v>
      </c>
      <c r="D1071" s="260">
        <v>4816.42</v>
      </c>
      <c r="E1071" s="260">
        <v>829.63</v>
      </c>
      <c r="F1071" s="260">
        <v>47.6</v>
      </c>
      <c r="G1071" s="260">
        <v>3939.19</v>
      </c>
      <c r="H1071" s="261">
        <v>31890.82</v>
      </c>
      <c r="I1071" s="261">
        <v>10826.73</v>
      </c>
      <c r="J1071" s="261">
        <v>240.34</v>
      </c>
      <c r="K1071" s="261">
        <v>20823.75</v>
      </c>
      <c r="L1071" s="357">
        <v>6.6212705702575771</v>
      </c>
      <c r="M1071" s="357">
        <v>13.05</v>
      </c>
      <c r="N1071" s="357">
        <v>5.049159663865546</v>
      </c>
      <c r="O1071" s="357">
        <v>5.2863025139686073</v>
      </c>
      <c r="P1071" s="262"/>
      <c r="Q1071" s="262"/>
      <c r="R1071" s="262">
        <v>28</v>
      </c>
    </row>
    <row r="1072" spans="1:18" ht="48">
      <c r="A1072" s="263">
        <v>61.255000000000003</v>
      </c>
      <c r="B1072" s="264" t="s">
        <v>1854</v>
      </c>
      <c r="C1072" s="265" t="s">
        <v>1855</v>
      </c>
      <c r="D1072" s="266">
        <v>4990.6899999999996</v>
      </c>
      <c r="E1072" s="266">
        <v>978.12</v>
      </c>
      <c r="F1072" s="266">
        <v>50.74</v>
      </c>
      <c r="G1072" s="266">
        <v>3961.83</v>
      </c>
      <c r="H1072" s="267">
        <v>33977.26</v>
      </c>
      <c r="I1072" s="267">
        <v>12764.54</v>
      </c>
      <c r="J1072" s="267">
        <v>256.26</v>
      </c>
      <c r="K1072" s="267">
        <v>20956.46</v>
      </c>
      <c r="L1072" s="356">
        <v>6.8081287357058855</v>
      </c>
      <c r="M1072" s="356">
        <v>13.05</v>
      </c>
      <c r="N1072" s="356">
        <v>5.0504532912889237</v>
      </c>
      <c r="O1072" s="356">
        <v>5.2895909213671457</v>
      </c>
      <c r="P1072" s="268"/>
      <c r="Q1072" s="268"/>
      <c r="R1072" s="268">
        <v>28</v>
      </c>
    </row>
    <row r="1073" spans="1:18" ht="12.75">
      <c r="A1073" s="428" t="s">
        <v>1856</v>
      </c>
      <c r="B1073" s="429"/>
      <c r="C1073" s="429"/>
      <c r="D1073" s="429"/>
      <c r="E1073" s="429"/>
      <c r="F1073" s="429"/>
      <c r="G1073" s="429"/>
      <c r="H1073" s="429"/>
      <c r="I1073" s="429"/>
      <c r="J1073" s="429"/>
      <c r="K1073" s="429"/>
      <c r="L1073" s="429"/>
      <c r="M1073" s="429"/>
      <c r="N1073" s="429"/>
      <c r="O1073" s="429"/>
      <c r="P1073" s="429"/>
      <c r="Q1073" s="429"/>
      <c r="R1073" s="429"/>
    </row>
    <row r="1074" spans="1:18" ht="36">
      <c r="A1074" s="258">
        <v>61.256</v>
      </c>
      <c r="B1074" s="251" t="s">
        <v>1857</v>
      </c>
      <c r="C1074" s="259" t="s">
        <v>1858</v>
      </c>
      <c r="D1074" s="260">
        <v>1749.2</v>
      </c>
      <c r="E1074" s="260">
        <v>986.99</v>
      </c>
      <c r="F1074" s="260">
        <v>10.69</v>
      </c>
      <c r="G1074" s="260">
        <v>751.52</v>
      </c>
      <c r="H1074" s="261">
        <v>15837.01</v>
      </c>
      <c r="I1074" s="261">
        <v>12880.62</v>
      </c>
      <c r="J1074" s="261">
        <v>53.84</v>
      </c>
      <c r="K1074" s="261">
        <v>2902.55</v>
      </c>
      <c r="L1074" s="357">
        <v>9.0538589069288822</v>
      </c>
      <c r="M1074" s="357">
        <v>13.05</v>
      </c>
      <c r="N1074" s="357">
        <v>5.0364826941066418</v>
      </c>
      <c r="O1074" s="357">
        <v>3.8622391952309987</v>
      </c>
      <c r="P1074" s="262"/>
      <c r="Q1074" s="262"/>
      <c r="R1074" s="262">
        <v>29</v>
      </c>
    </row>
    <row r="1075" spans="1:18" ht="24">
      <c r="A1075" s="263">
        <v>61.256999999999998</v>
      </c>
      <c r="B1075" s="264" t="s">
        <v>1859</v>
      </c>
      <c r="C1075" s="265" t="s">
        <v>1860</v>
      </c>
      <c r="D1075" s="266">
        <v>1084.56</v>
      </c>
      <c r="E1075" s="266">
        <v>363.48</v>
      </c>
      <c r="F1075" s="266">
        <v>10.69</v>
      </c>
      <c r="G1075" s="266">
        <v>710.39</v>
      </c>
      <c r="H1075" s="267">
        <v>9411.7000000000007</v>
      </c>
      <c r="I1075" s="267">
        <v>4743.57</v>
      </c>
      <c r="J1075" s="267">
        <v>53.84</v>
      </c>
      <c r="K1075" s="267">
        <v>4614.29</v>
      </c>
      <c r="L1075" s="356">
        <v>8.6778970273659368</v>
      </c>
      <c r="M1075" s="356">
        <v>13.05</v>
      </c>
      <c r="N1075" s="356">
        <v>5.0364826941066418</v>
      </c>
      <c r="O1075" s="356">
        <v>6.4954320866003181</v>
      </c>
      <c r="P1075" s="268"/>
      <c r="Q1075" s="268"/>
      <c r="R1075" s="268">
        <v>29</v>
      </c>
    </row>
    <row r="1076" spans="1:18" ht="12.75">
      <c r="A1076" s="428" t="s">
        <v>1861</v>
      </c>
      <c r="B1076" s="429"/>
      <c r="C1076" s="429"/>
      <c r="D1076" s="429"/>
      <c r="E1076" s="429"/>
      <c r="F1076" s="429"/>
      <c r="G1076" s="429"/>
      <c r="H1076" s="429"/>
      <c r="I1076" s="429"/>
      <c r="J1076" s="429"/>
      <c r="K1076" s="429"/>
      <c r="L1076" s="429"/>
      <c r="M1076" s="429"/>
      <c r="N1076" s="429"/>
      <c r="O1076" s="429"/>
      <c r="P1076" s="429"/>
      <c r="Q1076" s="429"/>
      <c r="R1076" s="429"/>
    </row>
    <row r="1077" spans="1:18" ht="24">
      <c r="A1077" s="258">
        <v>61.258000000000003</v>
      </c>
      <c r="B1077" s="251" t="s">
        <v>1862</v>
      </c>
      <c r="C1077" s="259" t="s">
        <v>1863</v>
      </c>
      <c r="D1077" s="260">
        <v>1182.5999999999999</v>
      </c>
      <c r="E1077" s="260">
        <v>450.16</v>
      </c>
      <c r="F1077" s="260">
        <v>10.69</v>
      </c>
      <c r="G1077" s="260">
        <v>721.75</v>
      </c>
      <c r="H1077" s="261">
        <v>10616.45</v>
      </c>
      <c r="I1077" s="261">
        <v>5874.73</v>
      </c>
      <c r="J1077" s="261">
        <v>53.84</v>
      </c>
      <c r="K1077" s="261">
        <v>4687.88</v>
      </c>
      <c r="L1077" s="357">
        <v>8.9772112294943351</v>
      </c>
      <c r="M1077" s="357">
        <v>13.05</v>
      </c>
      <c r="N1077" s="357">
        <v>5.0364826941066418</v>
      </c>
      <c r="O1077" s="357">
        <v>6.4951576030481473</v>
      </c>
      <c r="P1077" s="262"/>
      <c r="Q1077" s="262"/>
      <c r="R1077" s="262">
        <v>30</v>
      </c>
    </row>
    <row r="1078" spans="1:18" ht="24">
      <c r="A1078" s="258">
        <v>61.259</v>
      </c>
      <c r="B1078" s="251" t="s">
        <v>1864</v>
      </c>
      <c r="C1078" s="259" t="s">
        <v>1865</v>
      </c>
      <c r="D1078" s="260">
        <v>1114.56</v>
      </c>
      <c r="E1078" s="260">
        <v>382.12</v>
      </c>
      <c r="F1078" s="260">
        <v>10.69</v>
      </c>
      <c r="G1078" s="260">
        <v>721.75</v>
      </c>
      <c r="H1078" s="261">
        <v>9728.5499999999993</v>
      </c>
      <c r="I1078" s="261">
        <v>4986.83</v>
      </c>
      <c r="J1078" s="261">
        <v>53.84</v>
      </c>
      <c r="K1078" s="261">
        <v>4687.88</v>
      </c>
      <c r="L1078" s="357">
        <v>8.72860142118863</v>
      </c>
      <c r="M1078" s="357">
        <v>13.05</v>
      </c>
      <c r="N1078" s="357">
        <v>5.0364826941066418</v>
      </c>
      <c r="O1078" s="357">
        <v>6.4951576030481473</v>
      </c>
      <c r="P1078" s="262"/>
      <c r="Q1078" s="262"/>
      <c r="R1078" s="262">
        <v>30</v>
      </c>
    </row>
    <row r="1079" spans="1:18" ht="36">
      <c r="A1079" s="258">
        <v>61.26</v>
      </c>
      <c r="B1079" s="251" t="s">
        <v>1866</v>
      </c>
      <c r="C1079" s="259" t="s">
        <v>1867</v>
      </c>
      <c r="D1079" s="260">
        <v>1271.1400000000001</v>
      </c>
      <c r="E1079" s="260">
        <v>538.70000000000005</v>
      </c>
      <c r="F1079" s="260">
        <v>10.69</v>
      </c>
      <c r="G1079" s="260">
        <v>721.75</v>
      </c>
      <c r="H1079" s="261">
        <v>11771.93</v>
      </c>
      <c r="I1079" s="261">
        <v>7030.21</v>
      </c>
      <c r="J1079" s="261">
        <v>53.84</v>
      </c>
      <c r="K1079" s="261">
        <v>4687.88</v>
      </c>
      <c r="L1079" s="357">
        <v>9.2609232657299749</v>
      </c>
      <c r="M1079" s="357">
        <v>13.05</v>
      </c>
      <c r="N1079" s="357">
        <v>5.0364826941066418</v>
      </c>
      <c r="O1079" s="357">
        <v>6.4951576030481473</v>
      </c>
      <c r="P1079" s="262"/>
      <c r="Q1079" s="262"/>
      <c r="R1079" s="262">
        <v>30</v>
      </c>
    </row>
    <row r="1080" spans="1:18" ht="36">
      <c r="A1080" s="258">
        <v>61.261000000000003</v>
      </c>
      <c r="B1080" s="251" t="s">
        <v>1868</v>
      </c>
      <c r="C1080" s="259" t="s">
        <v>1869</v>
      </c>
      <c r="D1080" s="260">
        <v>1192.8499999999999</v>
      </c>
      <c r="E1080" s="260">
        <v>460.41</v>
      </c>
      <c r="F1080" s="260">
        <v>10.69</v>
      </c>
      <c r="G1080" s="260">
        <v>721.75</v>
      </c>
      <c r="H1080" s="261">
        <v>10750.24</v>
      </c>
      <c r="I1080" s="261">
        <v>6008.52</v>
      </c>
      <c r="J1080" s="261">
        <v>53.84</v>
      </c>
      <c r="K1080" s="261">
        <v>4687.88</v>
      </c>
      <c r="L1080" s="357">
        <v>9.0122312109653357</v>
      </c>
      <c r="M1080" s="357">
        <v>13.05</v>
      </c>
      <c r="N1080" s="357">
        <v>5.0364826941066418</v>
      </c>
      <c r="O1080" s="357">
        <v>6.4951576030481473</v>
      </c>
      <c r="P1080" s="262"/>
      <c r="Q1080" s="262"/>
      <c r="R1080" s="262">
        <v>30</v>
      </c>
    </row>
    <row r="1081" spans="1:18" ht="36">
      <c r="A1081" s="258">
        <v>61.262</v>
      </c>
      <c r="B1081" s="251" t="s">
        <v>1870</v>
      </c>
      <c r="C1081" s="259" t="s">
        <v>1871</v>
      </c>
      <c r="D1081" s="260">
        <v>1408.14</v>
      </c>
      <c r="E1081" s="260">
        <v>675.7</v>
      </c>
      <c r="F1081" s="260">
        <v>10.69</v>
      </c>
      <c r="G1081" s="260">
        <v>721.75</v>
      </c>
      <c r="H1081" s="261">
        <v>13559.9</v>
      </c>
      <c r="I1081" s="261">
        <v>8818.18</v>
      </c>
      <c r="J1081" s="261">
        <v>53.84</v>
      </c>
      <c r="K1081" s="261">
        <v>4687.88</v>
      </c>
      <c r="L1081" s="357">
        <v>9.6296533015183137</v>
      </c>
      <c r="M1081" s="357">
        <v>13.05</v>
      </c>
      <c r="N1081" s="357">
        <v>5.0364826941066418</v>
      </c>
      <c r="O1081" s="357">
        <v>6.4951576030481473</v>
      </c>
      <c r="P1081" s="262"/>
      <c r="Q1081" s="262"/>
      <c r="R1081" s="262">
        <v>30</v>
      </c>
    </row>
    <row r="1082" spans="1:18" ht="36">
      <c r="A1082" s="258">
        <v>61.262999999999998</v>
      </c>
      <c r="B1082" s="251" t="s">
        <v>1872</v>
      </c>
      <c r="C1082" s="259" t="s">
        <v>1873</v>
      </c>
      <c r="D1082" s="260">
        <v>1310.28</v>
      </c>
      <c r="E1082" s="260">
        <v>577.84</v>
      </c>
      <c r="F1082" s="260">
        <v>10.69</v>
      </c>
      <c r="G1082" s="260">
        <v>721.75</v>
      </c>
      <c r="H1082" s="261">
        <v>12282.78</v>
      </c>
      <c r="I1082" s="261">
        <v>7541.06</v>
      </c>
      <c r="J1082" s="261">
        <v>53.84</v>
      </c>
      <c r="K1082" s="261">
        <v>4687.88</v>
      </c>
      <c r="L1082" s="357">
        <v>9.3741643007601443</v>
      </c>
      <c r="M1082" s="357">
        <v>13.05</v>
      </c>
      <c r="N1082" s="357">
        <v>5.0364826941066418</v>
      </c>
      <c r="O1082" s="357">
        <v>6.4951576030481473</v>
      </c>
      <c r="P1082" s="262"/>
      <c r="Q1082" s="262"/>
      <c r="R1082" s="262">
        <v>30</v>
      </c>
    </row>
    <row r="1083" spans="1:18" ht="24">
      <c r="A1083" s="258">
        <v>61.264000000000003</v>
      </c>
      <c r="B1083" s="251" t="s">
        <v>1874</v>
      </c>
      <c r="C1083" s="259" t="s">
        <v>1875</v>
      </c>
      <c r="D1083" s="260">
        <v>1941.34</v>
      </c>
      <c r="E1083" s="260">
        <v>548.02</v>
      </c>
      <c r="F1083" s="260">
        <v>21.37</v>
      </c>
      <c r="G1083" s="260">
        <v>1371.95</v>
      </c>
      <c r="H1083" s="261">
        <v>14206.75</v>
      </c>
      <c r="I1083" s="261">
        <v>7151.84</v>
      </c>
      <c r="J1083" s="261">
        <v>107.68</v>
      </c>
      <c r="K1083" s="261">
        <v>6947.23</v>
      </c>
      <c r="L1083" s="357">
        <v>7.3180123007819349</v>
      </c>
      <c r="M1083" s="357">
        <v>13.05</v>
      </c>
      <c r="N1083" s="357">
        <v>5.0388394946186246</v>
      </c>
      <c r="O1083" s="357">
        <v>5.0637632566784498</v>
      </c>
      <c r="P1083" s="262"/>
      <c r="Q1083" s="262"/>
      <c r="R1083" s="262">
        <v>30</v>
      </c>
    </row>
    <row r="1084" spans="1:18" ht="24">
      <c r="A1084" s="258">
        <v>61.265000000000001</v>
      </c>
      <c r="B1084" s="251" t="s">
        <v>1876</v>
      </c>
      <c r="C1084" s="259" t="s">
        <v>1877</v>
      </c>
      <c r="D1084" s="260">
        <v>1863.05</v>
      </c>
      <c r="E1084" s="260">
        <v>469.73</v>
      </c>
      <c r="F1084" s="260">
        <v>21.37</v>
      </c>
      <c r="G1084" s="260">
        <v>1371.95</v>
      </c>
      <c r="H1084" s="261">
        <v>13185.06</v>
      </c>
      <c r="I1084" s="261">
        <v>6130.15</v>
      </c>
      <c r="J1084" s="261">
        <v>107.68</v>
      </c>
      <c r="K1084" s="261">
        <v>6947.23</v>
      </c>
      <c r="L1084" s="357">
        <v>7.0771369528461392</v>
      </c>
      <c r="M1084" s="357">
        <v>13.05</v>
      </c>
      <c r="N1084" s="357">
        <v>5.0388394946186246</v>
      </c>
      <c r="O1084" s="357">
        <v>5.0637632566784498</v>
      </c>
      <c r="P1084" s="262"/>
      <c r="Q1084" s="262"/>
      <c r="R1084" s="262">
        <v>30</v>
      </c>
    </row>
    <row r="1085" spans="1:18" ht="36">
      <c r="A1085" s="258">
        <v>61.265999999999998</v>
      </c>
      <c r="B1085" s="251" t="s">
        <v>1878</v>
      </c>
      <c r="C1085" s="259" t="s">
        <v>1879</v>
      </c>
      <c r="D1085" s="260">
        <v>2058.77</v>
      </c>
      <c r="E1085" s="260">
        <v>665.45</v>
      </c>
      <c r="F1085" s="260">
        <v>21.37</v>
      </c>
      <c r="G1085" s="260">
        <v>1371.95</v>
      </c>
      <c r="H1085" s="261">
        <v>15739.29</v>
      </c>
      <c r="I1085" s="261">
        <v>8684.3799999999992</v>
      </c>
      <c r="J1085" s="261">
        <v>107.68</v>
      </c>
      <c r="K1085" s="261">
        <v>6947.23</v>
      </c>
      <c r="L1085" s="357">
        <v>7.644996769916018</v>
      </c>
      <c r="M1085" s="357">
        <v>13.05</v>
      </c>
      <c r="N1085" s="357">
        <v>5.0388394946186246</v>
      </c>
      <c r="O1085" s="357">
        <v>5.0637632566784498</v>
      </c>
      <c r="P1085" s="262"/>
      <c r="Q1085" s="262"/>
      <c r="R1085" s="262">
        <v>30</v>
      </c>
    </row>
    <row r="1086" spans="1:18" ht="36">
      <c r="A1086" s="263">
        <v>61.267000000000003</v>
      </c>
      <c r="B1086" s="264" t="s">
        <v>1880</v>
      </c>
      <c r="C1086" s="265" t="s">
        <v>1881</v>
      </c>
      <c r="D1086" s="266">
        <v>1960.91</v>
      </c>
      <c r="E1086" s="266">
        <v>567.59</v>
      </c>
      <c r="F1086" s="266">
        <v>21.37</v>
      </c>
      <c r="G1086" s="266">
        <v>1371.95</v>
      </c>
      <c r="H1086" s="267">
        <v>14462.18</v>
      </c>
      <c r="I1086" s="267">
        <v>7407.27</v>
      </c>
      <c r="J1086" s="267">
        <v>107.68</v>
      </c>
      <c r="K1086" s="267">
        <v>6947.23</v>
      </c>
      <c r="L1086" s="356">
        <v>7.3752390471770761</v>
      </c>
      <c r="M1086" s="356">
        <v>13.05</v>
      </c>
      <c r="N1086" s="356">
        <v>5.0388394946186246</v>
      </c>
      <c r="O1086" s="356">
        <v>5.0637632566784498</v>
      </c>
      <c r="P1086" s="268"/>
      <c r="Q1086" s="268"/>
      <c r="R1086" s="268">
        <v>30</v>
      </c>
    </row>
    <row r="1087" spans="1:18" ht="12.75">
      <c r="A1087" s="428" t="s">
        <v>1882</v>
      </c>
      <c r="B1087" s="429"/>
      <c r="C1087" s="429"/>
      <c r="D1087" s="429"/>
      <c r="E1087" s="429"/>
      <c r="F1087" s="429"/>
      <c r="G1087" s="429"/>
      <c r="H1087" s="429"/>
      <c r="I1087" s="429"/>
      <c r="J1087" s="429"/>
      <c r="K1087" s="429"/>
      <c r="L1087" s="429"/>
      <c r="M1087" s="429"/>
      <c r="N1087" s="429"/>
      <c r="O1087" s="429"/>
      <c r="P1087" s="429"/>
      <c r="Q1087" s="429"/>
      <c r="R1087" s="429"/>
    </row>
    <row r="1088" spans="1:18">
      <c r="A1088" s="263">
        <v>61.268000000000001</v>
      </c>
      <c r="B1088" s="264" t="s">
        <v>1883</v>
      </c>
      <c r="C1088" s="265" t="s">
        <v>1884</v>
      </c>
      <c r="D1088" s="266">
        <v>2506.9499999999998</v>
      </c>
      <c r="E1088" s="266">
        <v>1458.54</v>
      </c>
      <c r="F1088" s="266">
        <v>2.16</v>
      </c>
      <c r="G1088" s="266">
        <v>1046.25</v>
      </c>
      <c r="H1088" s="267">
        <v>25977.65</v>
      </c>
      <c r="I1088" s="267">
        <v>19034.599999999999</v>
      </c>
      <c r="J1088" s="267">
        <v>8.51</v>
      </c>
      <c r="K1088" s="267">
        <v>6934.54</v>
      </c>
      <c r="L1088" s="356">
        <v>10.362252936835599</v>
      </c>
      <c r="M1088" s="356">
        <v>13.05</v>
      </c>
      <c r="N1088" s="356">
        <v>3.9398148148148144</v>
      </c>
      <c r="O1088" s="356">
        <v>6.6279952210274793</v>
      </c>
      <c r="P1088" s="268"/>
      <c r="Q1088" s="268"/>
      <c r="R1088" s="268">
        <v>31</v>
      </c>
    </row>
    <row r="1089" spans="1:18" ht="12.75">
      <c r="A1089" s="428" t="s">
        <v>1885</v>
      </c>
      <c r="B1089" s="429"/>
      <c r="C1089" s="429"/>
      <c r="D1089" s="429"/>
      <c r="E1089" s="429"/>
      <c r="F1089" s="429"/>
      <c r="G1089" s="429"/>
      <c r="H1089" s="429"/>
      <c r="I1089" s="429"/>
      <c r="J1089" s="429"/>
      <c r="K1089" s="429"/>
      <c r="L1089" s="429"/>
      <c r="M1089" s="429"/>
      <c r="N1089" s="429"/>
      <c r="O1089" s="429"/>
      <c r="P1089" s="429"/>
      <c r="Q1089" s="429"/>
      <c r="R1089" s="429"/>
    </row>
    <row r="1090" spans="1:18" ht="36">
      <c r="A1090" s="258">
        <v>61.268999999999998</v>
      </c>
      <c r="B1090" s="251" t="s">
        <v>1886</v>
      </c>
      <c r="C1090" s="259" t="s">
        <v>1887</v>
      </c>
      <c r="D1090" s="260">
        <v>1168.9000000000001</v>
      </c>
      <c r="E1090" s="260">
        <v>573.65</v>
      </c>
      <c r="F1090" s="260">
        <v>175.69</v>
      </c>
      <c r="G1090" s="260">
        <v>419.56</v>
      </c>
      <c r="H1090" s="261">
        <v>11536.29</v>
      </c>
      <c r="I1090" s="261">
        <v>7486.01</v>
      </c>
      <c r="J1090" s="261">
        <v>888.2</v>
      </c>
      <c r="K1090" s="261">
        <v>3162.08</v>
      </c>
      <c r="L1090" s="357">
        <v>9.869355804602618</v>
      </c>
      <c r="M1090" s="357">
        <v>13.05</v>
      </c>
      <c r="N1090" s="357">
        <v>5.0554954749843475</v>
      </c>
      <c r="O1090" s="357">
        <v>7.5366574506625987</v>
      </c>
      <c r="P1090" s="262"/>
      <c r="Q1090" s="262"/>
      <c r="R1090" s="262">
        <v>32</v>
      </c>
    </row>
    <row r="1091" spans="1:18" ht="12.75">
      <c r="A1091" s="249"/>
      <c r="B1091" s="255"/>
      <c r="C1091" s="254"/>
      <c r="D1091" s="256"/>
      <c r="E1091" s="256"/>
      <c r="F1091" s="256"/>
      <c r="G1091" s="256"/>
      <c r="H1091" s="257"/>
      <c r="I1091" s="257"/>
      <c r="J1091" s="257"/>
      <c r="K1091" s="257"/>
      <c r="L1091" s="355"/>
      <c r="M1091" s="355"/>
      <c r="N1091" s="355"/>
      <c r="O1091" s="354"/>
      <c r="P1091" s="248"/>
      <c r="Q1091" s="248"/>
      <c r="R1091" s="248"/>
    </row>
    <row r="1092" spans="1:18">
      <c r="A1092" s="211"/>
      <c r="B1092" s="214"/>
      <c r="C1092" s="211"/>
      <c r="D1092" s="211"/>
      <c r="E1092" s="211"/>
      <c r="F1092" s="211"/>
      <c r="G1092" s="211"/>
      <c r="H1092" s="213"/>
      <c r="I1092" s="213"/>
      <c r="J1092" s="213"/>
      <c r="K1092" s="213"/>
      <c r="O1092" s="353"/>
      <c r="P1092" s="211"/>
      <c r="Q1092" s="211"/>
      <c r="R1092" s="211"/>
    </row>
    <row r="1093" spans="1:18">
      <c r="O1093" s="353"/>
    </row>
    <row r="1094" spans="1:18">
      <c r="O1094" s="352"/>
    </row>
    <row r="1095" spans="1:18" ht="23.25">
      <c r="A1095" s="61"/>
      <c r="B1095" s="60"/>
      <c r="C1095" s="45" t="s">
        <v>1888</v>
      </c>
      <c r="D1095" s="45"/>
      <c r="E1095" s="45"/>
      <c r="F1095" s="45"/>
      <c r="G1095" s="45"/>
      <c r="H1095" s="58"/>
      <c r="I1095" s="58"/>
      <c r="J1095" s="58"/>
      <c r="K1095" s="58"/>
      <c r="L1095" s="351"/>
      <c r="M1095" s="351"/>
      <c r="N1095" s="351"/>
      <c r="O1095" s="350"/>
    </row>
    <row r="1096" spans="1:18" ht="12.75">
      <c r="A1096" s="426" t="s">
        <v>1889</v>
      </c>
      <c r="B1096" s="427"/>
      <c r="C1096" s="427"/>
      <c r="D1096" s="427"/>
      <c r="E1096" s="427"/>
      <c r="F1096" s="427"/>
      <c r="G1096" s="427"/>
      <c r="H1096" s="427"/>
      <c r="I1096" s="427"/>
      <c r="J1096" s="427"/>
      <c r="K1096" s="427"/>
      <c r="L1096" s="427"/>
      <c r="M1096" s="427"/>
      <c r="N1096" s="427"/>
      <c r="O1096" s="427"/>
      <c r="P1096" s="427"/>
      <c r="Q1096" s="427"/>
      <c r="R1096" s="427"/>
    </row>
    <row r="1097" spans="1:18">
      <c r="A1097" s="279">
        <v>62.1</v>
      </c>
      <c r="B1097" s="272" t="s">
        <v>1890</v>
      </c>
      <c r="C1097" s="280" t="s">
        <v>1891</v>
      </c>
      <c r="D1097" s="281">
        <v>213.34</v>
      </c>
      <c r="E1097" s="281">
        <v>134.81</v>
      </c>
      <c r="F1097" s="281">
        <v>8.91</v>
      </c>
      <c r="G1097" s="281">
        <v>69.62</v>
      </c>
      <c r="H1097" s="282">
        <v>2153.92</v>
      </c>
      <c r="I1097" s="282">
        <v>1759.22</v>
      </c>
      <c r="J1097" s="282">
        <v>54.32</v>
      </c>
      <c r="K1097" s="282">
        <v>340.38</v>
      </c>
      <c r="L1097" s="357">
        <v>10.096184494234555</v>
      </c>
      <c r="M1097" s="357">
        <v>13.05</v>
      </c>
      <c r="N1097" s="357">
        <v>6.0965207631874296</v>
      </c>
      <c r="O1097" s="357">
        <v>4.889112324044814</v>
      </c>
      <c r="P1097" s="283"/>
      <c r="Q1097" s="283"/>
      <c r="R1097" s="283">
        <v>1</v>
      </c>
    </row>
    <row r="1098" spans="1:18">
      <c r="A1098" s="279">
        <v>62.2</v>
      </c>
      <c r="B1098" s="272" t="s">
        <v>1892</v>
      </c>
      <c r="C1098" s="280" t="s">
        <v>1893</v>
      </c>
      <c r="D1098" s="281">
        <v>292.58</v>
      </c>
      <c r="E1098" s="281">
        <v>211.42</v>
      </c>
      <c r="F1098" s="281">
        <v>8.91</v>
      </c>
      <c r="G1098" s="281">
        <v>72.25</v>
      </c>
      <c r="H1098" s="282">
        <v>3176</v>
      </c>
      <c r="I1098" s="282">
        <v>2759.04</v>
      </c>
      <c r="J1098" s="282">
        <v>54.32</v>
      </c>
      <c r="K1098" s="282">
        <v>362.64</v>
      </c>
      <c r="L1098" s="357">
        <v>10.855150728006016</v>
      </c>
      <c r="M1098" s="357">
        <v>13.05</v>
      </c>
      <c r="N1098" s="357">
        <v>6.0965207631874296</v>
      </c>
      <c r="O1098" s="357">
        <v>5.0192387543252597</v>
      </c>
      <c r="P1098" s="283"/>
      <c r="Q1098" s="283"/>
      <c r="R1098" s="283">
        <v>1</v>
      </c>
    </row>
    <row r="1099" spans="1:18" ht="24">
      <c r="A1099" s="279">
        <v>62.3</v>
      </c>
      <c r="B1099" s="272" t="s">
        <v>1894</v>
      </c>
      <c r="C1099" s="280" t="s">
        <v>1895</v>
      </c>
      <c r="D1099" s="281">
        <v>439.89</v>
      </c>
      <c r="E1099" s="281">
        <v>348.82</v>
      </c>
      <c r="F1099" s="281">
        <v>8.91</v>
      </c>
      <c r="G1099" s="281">
        <v>82.16</v>
      </c>
      <c r="H1099" s="282">
        <v>5033.33</v>
      </c>
      <c r="I1099" s="282">
        <v>4552.18</v>
      </c>
      <c r="J1099" s="282">
        <v>54.32</v>
      </c>
      <c r="K1099" s="282">
        <v>426.83</v>
      </c>
      <c r="L1099" s="357">
        <v>11.442246925367705</v>
      </c>
      <c r="M1099" s="357">
        <v>13.05</v>
      </c>
      <c r="N1099" s="357">
        <v>6.0965207631874296</v>
      </c>
      <c r="O1099" s="357">
        <v>5.1951071080817917</v>
      </c>
      <c r="P1099" s="283"/>
      <c r="Q1099" s="283"/>
      <c r="R1099" s="283">
        <v>1</v>
      </c>
    </row>
    <row r="1100" spans="1:18">
      <c r="A1100" s="279">
        <v>62.4</v>
      </c>
      <c r="B1100" s="272" t="s">
        <v>1896</v>
      </c>
      <c r="C1100" s="280" t="s">
        <v>1897</v>
      </c>
      <c r="D1100" s="281">
        <v>181.34</v>
      </c>
      <c r="E1100" s="281">
        <v>139.57</v>
      </c>
      <c r="F1100" s="281">
        <v>6.81</v>
      </c>
      <c r="G1100" s="281">
        <v>34.96</v>
      </c>
      <c r="H1100" s="282">
        <v>2021.45</v>
      </c>
      <c r="I1100" s="282">
        <v>1821.39</v>
      </c>
      <c r="J1100" s="282">
        <v>43.71</v>
      </c>
      <c r="K1100" s="282">
        <v>156.35</v>
      </c>
      <c r="L1100" s="357">
        <v>11.147292378956656</v>
      </c>
      <c r="M1100" s="357">
        <v>13.05</v>
      </c>
      <c r="N1100" s="357">
        <v>6.4185022026431726</v>
      </c>
      <c r="O1100" s="357">
        <v>4.4722540045766586</v>
      </c>
      <c r="P1100" s="283"/>
      <c r="Q1100" s="283"/>
      <c r="R1100" s="283">
        <v>1</v>
      </c>
    </row>
    <row r="1101" spans="1:18" ht="24">
      <c r="A1101" s="279">
        <v>62.5</v>
      </c>
      <c r="B1101" s="272" t="s">
        <v>1898</v>
      </c>
      <c r="C1101" s="280" t="s">
        <v>1899</v>
      </c>
      <c r="D1101" s="281">
        <v>147.31</v>
      </c>
      <c r="E1101" s="281">
        <v>101.5</v>
      </c>
      <c r="F1101" s="281">
        <v>6.81</v>
      </c>
      <c r="G1101" s="281">
        <v>39</v>
      </c>
      <c r="H1101" s="282">
        <v>1533.44</v>
      </c>
      <c r="I1101" s="282">
        <v>1324.65</v>
      </c>
      <c r="J1101" s="282">
        <v>43.71</v>
      </c>
      <c r="K1101" s="282">
        <v>165.08</v>
      </c>
      <c r="L1101" s="357">
        <v>10.409612382051456</v>
      </c>
      <c r="M1101" s="357">
        <v>13.05</v>
      </c>
      <c r="N1101" s="357">
        <v>6.4185022026431726</v>
      </c>
      <c r="O1101" s="357">
        <v>4.2328205128205134</v>
      </c>
      <c r="P1101" s="283"/>
      <c r="Q1101" s="283"/>
      <c r="R1101" s="283">
        <v>1</v>
      </c>
    </row>
    <row r="1102" spans="1:18">
      <c r="A1102" s="279">
        <v>62.6</v>
      </c>
      <c r="B1102" s="272" t="s">
        <v>1900</v>
      </c>
      <c r="C1102" s="280" t="s">
        <v>1901</v>
      </c>
      <c r="D1102" s="281">
        <v>141.15</v>
      </c>
      <c r="E1102" s="281">
        <v>100.24</v>
      </c>
      <c r="F1102" s="281">
        <v>6.81</v>
      </c>
      <c r="G1102" s="281">
        <v>34.1</v>
      </c>
      <c r="H1102" s="282">
        <v>1498.58</v>
      </c>
      <c r="I1102" s="282">
        <v>1308.0899999999999</v>
      </c>
      <c r="J1102" s="282">
        <v>43.71</v>
      </c>
      <c r="K1102" s="282">
        <v>146.78</v>
      </c>
      <c r="L1102" s="357">
        <v>10.616932341480693</v>
      </c>
      <c r="M1102" s="357">
        <v>13.05</v>
      </c>
      <c r="N1102" s="357">
        <v>6.4185022026431726</v>
      </c>
      <c r="O1102" s="357">
        <v>4.3043988269794724</v>
      </c>
      <c r="P1102" s="283"/>
      <c r="Q1102" s="283"/>
      <c r="R1102" s="283">
        <v>1</v>
      </c>
    </row>
    <row r="1103" spans="1:18" ht="12.75">
      <c r="A1103" s="426" t="s">
        <v>1902</v>
      </c>
      <c r="B1103" s="427"/>
      <c r="C1103" s="427"/>
      <c r="D1103" s="427"/>
      <c r="E1103" s="427"/>
      <c r="F1103" s="427"/>
      <c r="G1103" s="427"/>
      <c r="H1103" s="427"/>
      <c r="I1103" s="427"/>
      <c r="J1103" s="427"/>
      <c r="K1103" s="427"/>
      <c r="L1103" s="427"/>
      <c r="M1103" s="427"/>
      <c r="N1103" s="427"/>
      <c r="O1103" s="427"/>
      <c r="P1103" s="427"/>
      <c r="Q1103" s="427"/>
      <c r="R1103" s="427"/>
    </row>
    <row r="1104" spans="1:18" ht="36">
      <c r="A1104" s="279">
        <v>62.7</v>
      </c>
      <c r="B1104" s="272" t="s">
        <v>1903</v>
      </c>
      <c r="C1104" s="280" t="s">
        <v>1904</v>
      </c>
      <c r="D1104" s="281">
        <v>462.16</v>
      </c>
      <c r="E1104" s="281">
        <v>158.82</v>
      </c>
      <c r="F1104" s="281">
        <v>9.9600000000000009</v>
      </c>
      <c r="G1104" s="281">
        <v>293.38</v>
      </c>
      <c r="H1104" s="282">
        <v>2996.58</v>
      </c>
      <c r="I1104" s="282">
        <v>2072.73</v>
      </c>
      <c r="J1104" s="282">
        <v>59.63</v>
      </c>
      <c r="K1104" s="282">
        <v>864.22</v>
      </c>
      <c r="L1104" s="357">
        <v>6.4838584040159244</v>
      </c>
      <c r="M1104" s="357">
        <v>13.05</v>
      </c>
      <c r="N1104" s="357">
        <v>5.986947791164658</v>
      </c>
      <c r="O1104" s="357">
        <v>2.9457359056513739</v>
      </c>
      <c r="P1104" s="283"/>
      <c r="Q1104" s="283"/>
      <c r="R1104" s="283">
        <v>2</v>
      </c>
    </row>
    <row r="1105" spans="1:18" ht="36">
      <c r="A1105" s="279">
        <v>62.8</v>
      </c>
      <c r="B1105" s="272" t="s">
        <v>1905</v>
      </c>
      <c r="C1105" s="280" t="s">
        <v>1906</v>
      </c>
      <c r="D1105" s="281">
        <v>738.28</v>
      </c>
      <c r="E1105" s="281">
        <v>218.78</v>
      </c>
      <c r="F1105" s="281">
        <v>11</v>
      </c>
      <c r="G1105" s="281">
        <v>508.5</v>
      </c>
      <c r="H1105" s="282">
        <v>4839.21</v>
      </c>
      <c r="I1105" s="282">
        <v>2855.22</v>
      </c>
      <c r="J1105" s="282">
        <v>64.94</v>
      </c>
      <c r="K1105" s="282">
        <v>1919.05</v>
      </c>
      <c r="L1105" s="357">
        <v>6.5547082407758577</v>
      </c>
      <c r="M1105" s="357">
        <v>13.05</v>
      </c>
      <c r="N1105" s="357">
        <v>5.9036363636363633</v>
      </c>
      <c r="O1105" s="357">
        <v>3.7739429695181905</v>
      </c>
      <c r="P1105" s="283"/>
      <c r="Q1105" s="283"/>
      <c r="R1105" s="283">
        <v>2</v>
      </c>
    </row>
    <row r="1106" spans="1:18" ht="36">
      <c r="A1106" s="279">
        <v>62.9</v>
      </c>
      <c r="B1106" s="272" t="s">
        <v>1907</v>
      </c>
      <c r="C1106" s="280" t="s">
        <v>1908</v>
      </c>
      <c r="D1106" s="281">
        <v>961.18</v>
      </c>
      <c r="E1106" s="281">
        <v>343.55</v>
      </c>
      <c r="F1106" s="281">
        <v>11</v>
      </c>
      <c r="G1106" s="281">
        <v>606.63</v>
      </c>
      <c r="H1106" s="282">
        <v>6828.23</v>
      </c>
      <c r="I1106" s="282">
        <v>4483.5</v>
      </c>
      <c r="J1106" s="282">
        <v>64.94</v>
      </c>
      <c r="K1106" s="282">
        <v>2279.79</v>
      </c>
      <c r="L1106" s="357">
        <v>7.104007574023596</v>
      </c>
      <c r="M1106" s="357">
        <v>13.05</v>
      </c>
      <c r="N1106" s="357">
        <v>5.9036363636363633</v>
      </c>
      <c r="O1106" s="357">
        <v>3.7581227436823106</v>
      </c>
      <c r="P1106" s="283"/>
      <c r="Q1106" s="283"/>
      <c r="R1106" s="283">
        <v>2</v>
      </c>
    </row>
    <row r="1107" spans="1:18" ht="36">
      <c r="A1107" s="279">
        <v>62.1</v>
      </c>
      <c r="B1107" s="272" t="s">
        <v>1909</v>
      </c>
      <c r="C1107" s="280" t="s">
        <v>1910</v>
      </c>
      <c r="D1107" s="281">
        <v>1368.17</v>
      </c>
      <c r="E1107" s="281">
        <v>632.92999999999995</v>
      </c>
      <c r="F1107" s="281">
        <v>11</v>
      </c>
      <c r="G1107" s="281">
        <v>724.24</v>
      </c>
      <c r="H1107" s="282">
        <v>11011.47</v>
      </c>
      <c r="I1107" s="282">
        <v>8259.92</v>
      </c>
      <c r="J1107" s="282">
        <v>64.94</v>
      </c>
      <c r="K1107" s="282">
        <v>2686.61</v>
      </c>
      <c r="L1107" s="357">
        <v>8.0483200187111237</v>
      </c>
      <c r="M1107" s="357">
        <v>13.05</v>
      </c>
      <c r="N1107" s="357">
        <v>5.9036363636363633</v>
      </c>
      <c r="O1107" s="357">
        <v>3.7095576052137416</v>
      </c>
      <c r="P1107" s="283"/>
      <c r="Q1107" s="283"/>
      <c r="R1107" s="283">
        <v>2</v>
      </c>
    </row>
    <row r="1108" spans="1:18" ht="12.75">
      <c r="A1108" s="426" t="s">
        <v>1911</v>
      </c>
      <c r="B1108" s="427"/>
      <c r="C1108" s="427"/>
      <c r="D1108" s="427"/>
      <c r="E1108" s="427"/>
      <c r="F1108" s="427"/>
      <c r="G1108" s="427"/>
      <c r="H1108" s="427"/>
      <c r="I1108" s="427"/>
      <c r="J1108" s="427"/>
      <c r="K1108" s="427"/>
      <c r="L1108" s="427"/>
      <c r="M1108" s="427"/>
      <c r="N1108" s="427"/>
      <c r="O1108" s="427"/>
      <c r="P1108" s="427"/>
      <c r="Q1108" s="427"/>
      <c r="R1108" s="427"/>
    </row>
    <row r="1109" spans="1:18" ht="36">
      <c r="A1109" s="279">
        <v>62.11</v>
      </c>
      <c r="B1109" s="272" t="s">
        <v>1912</v>
      </c>
      <c r="C1109" s="280" t="s">
        <v>1913</v>
      </c>
      <c r="D1109" s="281">
        <v>612.13</v>
      </c>
      <c r="E1109" s="281">
        <v>188.24</v>
      </c>
      <c r="F1109" s="281">
        <v>9.9600000000000009</v>
      </c>
      <c r="G1109" s="281">
        <v>413.93</v>
      </c>
      <c r="H1109" s="282">
        <v>3845.45</v>
      </c>
      <c r="I1109" s="282">
        <v>2456.56</v>
      </c>
      <c r="J1109" s="282">
        <v>59.63</v>
      </c>
      <c r="K1109" s="282">
        <v>1329.26</v>
      </c>
      <c r="L1109" s="357">
        <v>6.2820806037933119</v>
      </c>
      <c r="M1109" s="357">
        <v>13.05</v>
      </c>
      <c r="N1109" s="357">
        <v>5.986947791164658</v>
      </c>
      <c r="O1109" s="357">
        <v>3.2113159229821466</v>
      </c>
      <c r="P1109" s="283"/>
      <c r="Q1109" s="283"/>
      <c r="R1109" s="283">
        <v>3</v>
      </c>
    </row>
    <row r="1110" spans="1:18" ht="36">
      <c r="A1110" s="279">
        <v>62.12</v>
      </c>
      <c r="B1110" s="272" t="s">
        <v>1914</v>
      </c>
      <c r="C1110" s="280" t="s">
        <v>1915</v>
      </c>
      <c r="D1110" s="281">
        <v>942.81</v>
      </c>
      <c r="E1110" s="281">
        <v>259.95999999999998</v>
      </c>
      <c r="F1110" s="281">
        <v>9.9600000000000009</v>
      </c>
      <c r="G1110" s="281">
        <v>672.89</v>
      </c>
      <c r="H1110" s="282">
        <v>6032.61</v>
      </c>
      <c r="I1110" s="282">
        <v>3392.59</v>
      </c>
      <c r="J1110" s="282">
        <v>59.63</v>
      </c>
      <c r="K1110" s="282">
        <v>2580.39</v>
      </c>
      <c r="L1110" s="357">
        <v>6.398542654405448</v>
      </c>
      <c r="M1110" s="357">
        <v>13.05</v>
      </c>
      <c r="N1110" s="357">
        <v>5.986947791164658</v>
      </c>
      <c r="O1110" s="357">
        <v>3.8347872609193181</v>
      </c>
      <c r="P1110" s="283"/>
      <c r="Q1110" s="283"/>
      <c r="R1110" s="283">
        <v>3</v>
      </c>
    </row>
    <row r="1111" spans="1:18" ht="36">
      <c r="A1111" s="279">
        <v>62.13</v>
      </c>
      <c r="B1111" s="272" t="s">
        <v>1916</v>
      </c>
      <c r="C1111" s="280" t="s">
        <v>1917</v>
      </c>
      <c r="D1111" s="281">
        <v>1295.9000000000001</v>
      </c>
      <c r="E1111" s="281">
        <v>409.39</v>
      </c>
      <c r="F1111" s="281">
        <v>9.9600000000000009</v>
      </c>
      <c r="G1111" s="281">
        <v>876.55</v>
      </c>
      <c r="H1111" s="282">
        <v>9023.57</v>
      </c>
      <c r="I1111" s="282">
        <v>5342.76</v>
      </c>
      <c r="J1111" s="282">
        <v>59.63</v>
      </c>
      <c r="K1111" s="282">
        <v>3621.18</v>
      </c>
      <c r="L1111" s="357">
        <v>6.9631684543560457</v>
      </c>
      <c r="M1111" s="357">
        <v>13.05</v>
      </c>
      <c r="N1111" s="357">
        <v>5.986947791164658</v>
      </c>
      <c r="O1111" s="357">
        <v>4.1311733500655983</v>
      </c>
      <c r="P1111" s="283"/>
      <c r="Q1111" s="283"/>
      <c r="R1111" s="283">
        <v>3</v>
      </c>
    </row>
    <row r="1112" spans="1:18" ht="36">
      <c r="A1112" s="279">
        <v>62.14</v>
      </c>
      <c r="B1112" s="272" t="s">
        <v>1918</v>
      </c>
      <c r="C1112" s="280" t="s">
        <v>1919</v>
      </c>
      <c r="D1112" s="281">
        <v>1816.43</v>
      </c>
      <c r="E1112" s="281">
        <v>756.46</v>
      </c>
      <c r="F1112" s="281">
        <v>9.9600000000000009</v>
      </c>
      <c r="G1112" s="281">
        <v>1050.01</v>
      </c>
      <c r="H1112" s="282">
        <v>14265.1</v>
      </c>
      <c r="I1112" s="282">
        <v>9872.0400000000009</v>
      </c>
      <c r="J1112" s="282">
        <v>59.63</v>
      </c>
      <c r="K1112" s="282">
        <v>4333.43</v>
      </c>
      <c r="L1112" s="357">
        <v>7.8533717236557425</v>
      </c>
      <c r="M1112" s="357">
        <v>13.05</v>
      </c>
      <c r="N1112" s="357">
        <v>5.986947791164658</v>
      </c>
      <c r="O1112" s="357">
        <v>4.1270368853629966</v>
      </c>
      <c r="P1112" s="283"/>
      <c r="Q1112" s="283"/>
      <c r="R1112" s="283">
        <v>3</v>
      </c>
    </row>
    <row r="1113" spans="1:18" ht="12.75">
      <c r="A1113" s="426" t="s">
        <v>1920</v>
      </c>
      <c r="B1113" s="427"/>
      <c r="C1113" s="427"/>
      <c r="D1113" s="427"/>
      <c r="E1113" s="427"/>
      <c r="F1113" s="427"/>
      <c r="G1113" s="427"/>
      <c r="H1113" s="427"/>
      <c r="I1113" s="427"/>
      <c r="J1113" s="427"/>
      <c r="K1113" s="427"/>
      <c r="L1113" s="427"/>
      <c r="M1113" s="427"/>
      <c r="N1113" s="427"/>
      <c r="O1113" s="427"/>
      <c r="P1113" s="427"/>
      <c r="Q1113" s="427"/>
      <c r="R1113" s="427"/>
    </row>
    <row r="1114" spans="1:18" ht="36">
      <c r="A1114" s="279">
        <v>62.15</v>
      </c>
      <c r="B1114" s="272" t="s">
        <v>1921</v>
      </c>
      <c r="C1114" s="280" t="s">
        <v>1922</v>
      </c>
      <c r="D1114" s="281">
        <v>691.9</v>
      </c>
      <c r="E1114" s="281">
        <v>318.77999999999997</v>
      </c>
      <c r="F1114" s="281">
        <v>9.9600000000000009</v>
      </c>
      <c r="G1114" s="281">
        <v>363.16</v>
      </c>
      <c r="H1114" s="282">
        <v>5379.2</v>
      </c>
      <c r="I1114" s="282">
        <v>4160.2700000000004</v>
      </c>
      <c r="J1114" s="282">
        <v>59.63</v>
      </c>
      <c r="K1114" s="282">
        <v>1159.3</v>
      </c>
      <c r="L1114" s="357">
        <v>7.7745338921809513</v>
      </c>
      <c r="M1114" s="357">
        <v>13.05</v>
      </c>
      <c r="N1114" s="357">
        <v>5.986947791164658</v>
      </c>
      <c r="O1114" s="357">
        <v>3.1922568564819911</v>
      </c>
      <c r="P1114" s="283"/>
      <c r="Q1114" s="283"/>
      <c r="R1114" s="283">
        <v>4</v>
      </c>
    </row>
    <row r="1115" spans="1:18" ht="36">
      <c r="A1115" s="279">
        <v>62.16</v>
      </c>
      <c r="B1115" s="272" t="s">
        <v>1923</v>
      </c>
      <c r="C1115" s="280" t="s">
        <v>1924</v>
      </c>
      <c r="D1115" s="281">
        <v>1105.33</v>
      </c>
      <c r="E1115" s="281">
        <v>434.47</v>
      </c>
      <c r="F1115" s="281">
        <v>9.9600000000000009</v>
      </c>
      <c r="G1115" s="281">
        <v>660.9</v>
      </c>
      <c r="H1115" s="282">
        <v>8268.5300000000007</v>
      </c>
      <c r="I1115" s="282">
        <v>5670.03</v>
      </c>
      <c r="J1115" s="282">
        <v>59.63</v>
      </c>
      <c r="K1115" s="282">
        <v>2538.87</v>
      </c>
      <c r="L1115" s="357">
        <v>7.4805985542779094</v>
      </c>
      <c r="M1115" s="357">
        <v>13.05</v>
      </c>
      <c r="N1115" s="357">
        <v>5.986947791164658</v>
      </c>
      <c r="O1115" s="357">
        <v>3.8415342714480252</v>
      </c>
      <c r="P1115" s="283"/>
      <c r="Q1115" s="283"/>
      <c r="R1115" s="283">
        <v>4</v>
      </c>
    </row>
    <row r="1116" spans="1:18" ht="36">
      <c r="A1116" s="279">
        <v>62.17</v>
      </c>
      <c r="B1116" s="272" t="s">
        <v>1925</v>
      </c>
      <c r="C1116" s="280" t="s">
        <v>1926</v>
      </c>
      <c r="D1116" s="281">
        <v>1429.81</v>
      </c>
      <c r="E1116" s="281">
        <v>592.99</v>
      </c>
      <c r="F1116" s="281">
        <v>9.9600000000000009</v>
      </c>
      <c r="G1116" s="281">
        <v>826.86</v>
      </c>
      <c r="H1116" s="282">
        <v>11259.78</v>
      </c>
      <c r="I1116" s="282">
        <v>7738.71</v>
      </c>
      <c r="J1116" s="282">
        <v>59.63</v>
      </c>
      <c r="K1116" s="282">
        <v>3461.44</v>
      </c>
      <c r="L1116" s="357">
        <v>7.8750183590826763</v>
      </c>
      <c r="M1116" s="357">
        <v>13.05</v>
      </c>
      <c r="N1116" s="357">
        <v>5.986947791164658</v>
      </c>
      <c r="O1116" s="357">
        <v>4.1862467648695061</v>
      </c>
      <c r="P1116" s="283"/>
      <c r="Q1116" s="283"/>
      <c r="R1116" s="283">
        <v>4</v>
      </c>
    </row>
    <row r="1117" spans="1:18" ht="36">
      <c r="A1117" s="279">
        <v>62.18</v>
      </c>
      <c r="B1117" s="272" t="s">
        <v>1927</v>
      </c>
      <c r="C1117" s="280" t="s">
        <v>1928</v>
      </c>
      <c r="D1117" s="281">
        <v>1915.3</v>
      </c>
      <c r="E1117" s="281">
        <v>940.15</v>
      </c>
      <c r="F1117" s="281">
        <v>9.9600000000000009</v>
      </c>
      <c r="G1117" s="281">
        <v>965.19</v>
      </c>
      <c r="H1117" s="282">
        <v>16300.8</v>
      </c>
      <c r="I1117" s="282">
        <v>12269.35</v>
      </c>
      <c r="J1117" s="282">
        <v>59.63</v>
      </c>
      <c r="K1117" s="282">
        <v>3971.82</v>
      </c>
      <c r="L1117" s="357">
        <v>8.5108338119354663</v>
      </c>
      <c r="M1117" s="357">
        <v>13.05</v>
      </c>
      <c r="N1117" s="357">
        <v>5.986947791164658</v>
      </c>
      <c r="O1117" s="357">
        <v>4.1150654275324028</v>
      </c>
      <c r="P1117" s="283"/>
      <c r="Q1117" s="283"/>
      <c r="R1117" s="283">
        <v>4</v>
      </c>
    </row>
    <row r="1118" spans="1:18" ht="48">
      <c r="A1118" s="279">
        <v>62.19</v>
      </c>
      <c r="B1118" s="272" t="s">
        <v>1929</v>
      </c>
      <c r="C1118" s="280" t="s">
        <v>1930</v>
      </c>
      <c r="D1118" s="281">
        <v>788.34</v>
      </c>
      <c r="E1118" s="281">
        <v>418.89</v>
      </c>
      <c r="F1118" s="281">
        <v>6.29</v>
      </c>
      <c r="G1118" s="281">
        <v>363.16</v>
      </c>
      <c r="H1118" s="282">
        <v>6657.8</v>
      </c>
      <c r="I1118" s="282">
        <v>5466.66</v>
      </c>
      <c r="J1118" s="282">
        <v>31.84</v>
      </c>
      <c r="K1118" s="282">
        <v>1159.3</v>
      </c>
      <c r="L1118" s="357">
        <v>8.4453408427835708</v>
      </c>
      <c r="M1118" s="357">
        <v>13.05</v>
      </c>
      <c r="N1118" s="357">
        <v>5.0620031796502385</v>
      </c>
      <c r="O1118" s="357">
        <v>3.1922568564819911</v>
      </c>
      <c r="P1118" s="283"/>
      <c r="Q1118" s="283"/>
      <c r="R1118" s="283">
        <v>4</v>
      </c>
    </row>
    <row r="1119" spans="1:18" ht="48">
      <c r="A1119" s="279">
        <v>62.2</v>
      </c>
      <c r="B1119" s="272" t="s">
        <v>1931</v>
      </c>
      <c r="C1119" s="280" t="s">
        <v>1932</v>
      </c>
      <c r="D1119" s="281">
        <v>1224.47</v>
      </c>
      <c r="E1119" s="281">
        <v>557.28</v>
      </c>
      <c r="F1119" s="281">
        <v>6.29</v>
      </c>
      <c r="G1119" s="281">
        <v>660.9</v>
      </c>
      <c r="H1119" s="282">
        <v>9843.43</v>
      </c>
      <c r="I1119" s="282">
        <v>7272.72</v>
      </c>
      <c r="J1119" s="282">
        <v>31.84</v>
      </c>
      <c r="K1119" s="282">
        <v>2538.87</v>
      </c>
      <c r="L1119" s="357">
        <v>8.0389311293865919</v>
      </c>
      <c r="M1119" s="357">
        <v>13.05</v>
      </c>
      <c r="N1119" s="357">
        <v>5.0620031796502385</v>
      </c>
      <c r="O1119" s="357">
        <v>3.8415342714480252</v>
      </c>
      <c r="P1119" s="283"/>
      <c r="Q1119" s="283"/>
      <c r="R1119" s="283">
        <v>4</v>
      </c>
    </row>
    <row r="1120" spans="1:18" ht="48">
      <c r="A1120" s="279">
        <v>62.21</v>
      </c>
      <c r="B1120" s="272" t="s">
        <v>1933</v>
      </c>
      <c r="C1120" s="280" t="s">
        <v>1934</v>
      </c>
      <c r="D1120" s="281">
        <v>1602.61</v>
      </c>
      <c r="E1120" s="281">
        <v>769.46</v>
      </c>
      <c r="F1120" s="281">
        <v>6.29</v>
      </c>
      <c r="G1120" s="281">
        <v>826.86</v>
      </c>
      <c r="H1120" s="282">
        <v>13535.02</v>
      </c>
      <c r="I1120" s="282">
        <v>10041.74</v>
      </c>
      <c r="J1120" s="282">
        <v>31.84</v>
      </c>
      <c r="K1120" s="282">
        <v>3461.44</v>
      </c>
      <c r="L1120" s="357">
        <v>8.4456105977124825</v>
      </c>
      <c r="M1120" s="357">
        <v>13.05</v>
      </c>
      <c r="N1120" s="357">
        <v>5.0620031796502385</v>
      </c>
      <c r="O1120" s="357">
        <v>4.1862467648695061</v>
      </c>
      <c r="P1120" s="283"/>
      <c r="Q1120" s="283"/>
      <c r="R1120" s="283">
        <v>4</v>
      </c>
    </row>
    <row r="1121" spans="1:18" ht="48">
      <c r="A1121" s="279">
        <v>62.22</v>
      </c>
      <c r="B1121" s="272" t="s">
        <v>1935</v>
      </c>
      <c r="C1121" s="280" t="s">
        <v>1936</v>
      </c>
      <c r="D1121" s="281">
        <v>2156.2199999999998</v>
      </c>
      <c r="E1121" s="281">
        <v>1184.74</v>
      </c>
      <c r="F1121" s="281">
        <v>6.29</v>
      </c>
      <c r="G1121" s="281">
        <v>965.19</v>
      </c>
      <c r="H1121" s="282">
        <v>19464.919999999998</v>
      </c>
      <c r="I1121" s="282">
        <v>15461.26</v>
      </c>
      <c r="J1121" s="282">
        <v>31.84</v>
      </c>
      <c r="K1121" s="282">
        <v>3971.82</v>
      </c>
      <c r="L1121" s="357">
        <v>9.0273348730649001</v>
      </c>
      <c r="M1121" s="357">
        <v>13.05</v>
      </c>
      <c r="N1121" s="357">
        <v>5.0620031796502385</v>
      </c>
      <c r="O1121" s="357">
        <v>4.1150654275324028</v>
      </c>
      <c r="P1121" s="283"/>
      <c r="Q1121" s="283"/>
      <c r="R1121" s="283">
        <v>4</v>
      </c>
    </row>
    <row r="1122" spans="1:18" ht="36">
      <c r="A1122" s="279">
        <v>62.23</v>
      </c>
      <c r="B1122" s="272" t="s">
        <v>1937</v>
      </c>
      <c r="C1122" s="280" t="s">
        <v>1938</v>
      </c>
      <c r="D1122" s="281">
        <v>768.73</v>
      </c>
      <c r="E1122" s="281">
        <v>399.28</v>
      </c>
      <c r="F1122" s="281">
        <v>6.29</v>
      </c>
      <c r="G1122" s="281">
        <v>363.16</v>
      </c>
      <c r="H1122" s="282">
        <v>6401.91</v>
      </c>
      <c r="I1122" s="282">
        <v>5210.7700000000004</v>
      </c>
      <c r="J1122" s="282">
        <v>31.84</v>
      </c>
      <c r="K1122" s="282">
        <v>1159.3</v>
      </c>
      <c r="L1122" s="357">
        <v>8.3279044658072401</v>
      </c>
      <c r="M1122" s="357">
        <v>13.05</v>
      </c>
      <c r="N1122" s="357">
        <v>5.0620031796502385</v>
      </c>
      <c r="O1122" s="357">
        <v>3.1922568564819911</v>
      </c>
      <c r="P1122" s="283"/>
      <c r="Q1122" s="283"/>
      <c r="R1122" s="283">
        <v>4</v>
      </c>
    </row>
    <row r="1123" spans="1:18" ht="36">
      <c r="A1123" s="279">
        <v>62.24</v>
      </c>
      <c r="B1123" s="272" t="s">
        <v>1939</v>
      </c>
      <c r="C1123" s="280" t="s">
        <v>1940</v>
      </c>
      <c r="D1123" s="281">
        <v>1199.7</v>
      </c>
      <c r="E1123" s="281">
        <v>532.51</v>
      </c>
      <c r="F1123" s="281">
        <v>6.29</v>
      </c>
      <c r="G1123" s="281">
        <v>660.9</v>
      </c>
      <c r="H1123" s="282">
        <v>9520.2000000000007</v>
      </c>
      <c r="I1123" s="282">
        <v>6949.49</v>
      </c>
      <c r="J1123" s="282">
        <v>31.84</v>
      </c>
      <c r="K1123" s="282">
        <v>2538.87</v>
      </c>
      <c r="L1123" s="357">
        <v>7.935483870967742</v>
      </c>
      <c r="M1123" s="357">
        <v>13.05</v>
      </c>
      <c r="N1123" s="357">
        <v>5.0620031796502385</v>
      </c>
      <c r="O1123" s="357">
        <v>3.8415342714480252</v>
      </c>
      <c r="P1123" s="283"/>
      <c r="Q1123" s="283"/>
      <c r="R1123" s="283">
        <v>4</v>
      </c>
    </row>
    <row r="1124" spans="1:18" ht="36">
      <c r="A1124" s="279">
        <v>62.25</v>
      </c>
      <c r="B1124" s="272" t="s">
        <v>1941</v>
      </c>
      <c r="C1124" s="280" t="s">
        <v>1942</v>
      </c>
      <c r="D1124" s="281">
        <v>1567.52</v>
      </c>
      <c r="E1124" s="281">
        <v>734.37</v>
      </c>
      <c r="F1124" s="281">
        <v>6.29</v>
      </c>
      <c r="G1124" s="281">
        <v>826.86</v>
      </c>
      <c r="H1124" s="282">
        <v>13077.11</v>
      </c>
      <c r="I1124" s="282">
        <v>9583.83</v>
      </c>
      <c r="J1124" s="282">
        <v>31.84</v>
      </c>
      <c r="K1124" s="282">
        <v>3461.44</v>
      </c>
      <c r="L1124" s="357">
        <v>8.3425474635092378</v>
      </c>
      <c r="M1124" s="357">
        <v>13.05</v>
      </c>
      <c r="N1124" s="357">
        <v>5.0620031796502385</v>
      </c>
      <c r="O1124" s="357">
        <v>4.1862467648695061</v>
      </c>
      <c r="P1124" s="283"/>
      <c r="Q1124" s="283"/>
      <c r="R1124" s="283">
        <v>4</v>
      </c>
    </row>
    <row r="1125" spans="1:18" ht="48">
      <c r="A1125" s="279">
        <v>62.26</v>
      </c>
      <c r="B1125" s="272" t="s">
        <v>1943</v>
      </c>
      <c r="C1125" s="280" t="s">
        <v>1944</v>
      </c>
      <c r="D1125" s="281">
        <v>2107.71</v>
      </c>
      <c r="E1125" s="281">
        <v>1136.23</v>
      </c>
      <c r="F1125" s="281">
        <v>6.29</v>
      </c>
      <c r="G1125" s="281">
        <v>965.19</v>
      </c>
      <c r="H1125" s="282">
        <v>18831.93</v>
      </c>
      <c r="I1125" s="282">
        <v>14828.27</v>
      </c>
      <c r="J1125" s="282">
        <v>31.84</v>
      </c>
      <c r="K1125" s="282">
        <v>3971.82</v>
      </c>
      <c r="L1125" s="357">
        <v>8.9347822992726709</v>
      </c>
      <c r="M1125" s="357">
        <v>13.05</v>
      </c>
      <c r="N1125" s="357">
        <v>5.0620031796502385</v>
      </c>
      <c r="O1125" s="357">
        <v>4.1150654275324028</v>
      </c>
      <c r="P1125" s="283"/>
      <c r="Q1125" s="283"/>
      <c r="R1125" s="283">
        <v>4</v>
      </c>
    </row>
    <row r="1126" spans="1:18" ht="12.75">
      <c r="A1126" s="426" t="s">
        <v>1945</v>
      </c>
      <c r="B1126" s="427"/>
      <c r="C1126" s="427"/>
      <c r="D1126" s="427"/>
      <c r="E1126" s="427"/>
      <c r="F1126" s="427"/>
      <c r="G1126" s="427"/>
      <c r="H1126" s="427"/>
      <c r="I1126" s="427"/>
      <c r="J1126" s="427"/>
      <c r="K1126" s="427"/>
      <c r="L1126" s="427"/>
      <c r="M1126" s="427"/>
      <c r="N1126" s="427"/>
      <c r="O1126" s="427"/>
      <c r="P1126" s="427"/>
      <c r="Q1126" s="427"/>
      <c r="R1126" s="427"/>
    </row>
    <row r="1127" spans="1:18" ht="36">
      <c r="A1127" s="279">
        <v>62.27</v>
      </c>
      <c r="B1127" s="272" t="s">
        <v>1946</v>
      </c>
      <c r="C1127" s="280" t="s">
        <v>1947</v>
      </c>
      <c r="D1127" s="281">
        <v>654.66999999999996</v>
      </c>
      <c r="E1127" s="281">
        <v>190.61</v>
      </c>
      <c r="F1127" s="281">
        <v>9.9600000000000009</v>
      </c>
      <c r="G1127" s="281">
        <v>454.1</v>
      </c>
      <c r="H1127" s="282">
        <v>4006.84</v>
      </c>
      <c r="I1127" s="282">
        <v>2487.54</v>
      </c>
      <c r="J1127" s="282">
        <v>59.63</v>
      </c>
      <c r="K1127" s="282">
        <v>1459.67</v>
      </c>
      <c r="L1127" s="357">
        <v>6.1203965356591876</v>
      </c>
      <c r="M1127" s="357">
        <v>13.05</v>
      </c>
      <c r="N1127" s="357">
        <v>5.986947791164658</v>
      </c>
      <c r="O1127" s="357">
        <v>3.2144241356529397</v>
      </c>
      <c r="P1127" s="283"/>
      <c r="Q1127" s="283"/>
      <c r="R1127" s="283">
        <v>5</v>
      </c>
    </row>
    <row r="1128" spans="1:18" ht="36">
      <c r="A1128" s="279">
        <v>62.28</v>
      </c>
      <c r="B1128" s="272" t="s">
        <v>1948</v>
      </c>
      <c r="C1128" s="280" t="s">
        <v>1949</v>
      </c>
      <c r="D1128" s="281">
        <v>932.99</v>
      </c>
      <c r="E1128" s="281">
        <v>270.58999999999997</v>
      </c>
      <c r="F1128" s="281">
        <v>9.9600000000000009</v>
      </c>
      <c r="G1128" s="281">
        <v>652.44000000000005</v>
      </c>
      <c r="H1128" s="282">
        <v>6103.14</v>
      </c>
      <c r="I1128" s="282">
        <v>3531.31</v>
      </c>
      <c r="J1128" s="282">
        <v>59.63</v>
      </c>
      <c r="K1128" s="282">
        <v>2512.1999999999998</v>
      </c>
      <c r="L1128" s="357">
        <v>6.5414849033751707</v>
      </c>
      <c r="M1128" s="357">
        <v>13.05</v>
      </c>
      <c r="N1128" s="357">
        <v>5.986947791164658</v>
      </c>
      <c r="O1128" s="357">
        <v>3.8504690086444726</v>
      </c>
      <c r="P1128" s="283"/>
      <c r="Q1128" s="283"/>
      <c r="R1128" s="283">
        <v>5</v>
      </c>
    </row>
    <row r="1129" spans="1:18" ht="36">
      <c r="A1129" s="279">
        <v>62.29</v>
      </c>
      <c r="B1129" s="272" t="s">
        <v>1950</v>
      </c>
      <c r="C1129" s="280" t="s">
        <v>1951</v>
      </c>
      <c r="D1129" s="281">
        <v>1273.31</v>
      </c>
      <c r="E1129" s="281">
        <v>422.4</v>
      </c>
      <c r="F1129" s="281">
        <v>9.9600000000000009</v>
      </c>
      <c r="G1129" s="281">
        <v>840.95</v>
      </c>
      <c r="H1129" s="282">
        <v>9077.9699999999993</v>
      </c>
      <c r="I1129" s="282">
        <v>5512.45</v>
      </c>
      <c r="J1129" s="282">
        <v>59.63</v>
      </c>
      <c r="K1129" s="282">
        <v>3505.89</v>
      </c>
      <c r="L1129" s="357">
        <v>7.1294264554586073</v>
      </c>
      <c r="M1129" s="357">
        <v>13.05</v>
      </c>
      <c r="N1129" s="357">
        <v>5.986947791164658</v>
      </c>
      <c r="O1129" s="357">
        <v>4.1689636720375765</v>
      </c>
      <c r="P1129" s="283"/>
      <c r="Q1129" s="283"/>
      <c r="R1129" s="283">
        <v>5</v>
      </c>
    </row>
    <row r="1130" spans="1:18" ht="36">
      <c r="A1130" s="279">
        <v>62.3</v>
      </c>
      <c r="B1130" s="272" t="s">
        <v>1952</v>
      </c>
      <c r="C1130" s="280" t="s">
        <v>1953</v>
      </c>
      <c r="D1130" s="281">
        <v>1750.44</v>
      </c>
      <c r="E1130" s="281">
        <v>761.2</v>
      </c>
      <c r="F1130" s="281">
        <v>9.9600000000000009</v>
      </c>
      <c r="G1130" s="281">
        <v>979.28</v>
      </c>
      <c r="H1130" s="282">
        <v>14009.91</v>
      </c>
      <c r="I1130" s="282">
        <v>9934</v>
      </c>
      <c r="J1130" s="282">
        <v>59.63</v>
      </c>
      <c r="K1130" s="282">
        <v>4016.28</v>
      </c>
      <c r="L1130" s="357">
        <v>8.0036505107287308</v>
      </c>
      <c r="M1130" s="357">
        <v>13.05</v>
      </c>
      <c r="N1130" s="357">
        <v>5.986947791164658</v>
      </c>
      <c r="O1130" s="357">
        <v>4.1012580671513765</v>
      </c>
      <c r="P1130" s="283"/>
      <c r="Q1130" s="283"/>
      <c r="R1130" s="283">
        <v>5</v>
      </c>
    </row>
    <row r="1131" spans="1:18" ht="12.75">
      <c r="A1131" s="426" t="s">
        <v>1954</v>
      </c>
      <c r="B1131" s="427"/>
      <c r="C1131" s="427"/>
      <c r="D1131" s="427"/>
      <c r="E1131" s="427"/>
      <c r="F1131" s="427"/>
      <c r="G1131" s="427"/>
      <c r="H1131" s="427"/>
      <c r="I1131" s="427"/>
      <c r="J1131" s="427"/>
      <c r="K1131" s="427"/>
      <c r="L1131" s="427"/>
      <c r="M1131" s="427"/>
      <c r="N1131" s="427"/>
      <c r="O1131" s="427"/>
      <c r="P1131" s="427"/>
      <c r="Q1131" s="427"/>
      <c r="R1131" s="427"/>
    </row>
    <row r="1132" spans="1:18" ht="36">
      <c r="A1132" s="279">
        <v>62.31</v>
      </c>
      <c r="B1132" s="272" t="s">
        <v>1955</v>
      </c>
      <c r="C1132" s="280" t="s">
        <v>1956</v>
      </c>
      <c r="D1132" s="281">
        <v>418.01</v>
      </c>
      <c r="E1132" s="281">
        <v>116.2</v>
      </c>
      <c r="F1132" s="281">
        <v>7.86</v>
      </c>
      <c r="G1132" s="281">
        <v>293.95</v>
      </c>
      <c r="H1132" s="282">
        <v>2412.6999999999998</v>
      </c>
      <c r="I1132" s="282">
        <v>1516.5</v>
      </c>
      <c r="J1132" s="282">
        <v>49.02</v>
      </c>
      <c r="K1132" s="282">
        <v>847.18</v>
      </c>
      <c r="L1132" s="357">
        <v>5.7718714863280782</v>
      </c>
      <c r="M1132" s="357">
        <v>13.05</v>
      </c>
      <c r="N1132" s="357">
        <v>6.2366412213740459</v>
      </c>
      <c r="O1132" s="357">
        <v>2.882054771219595</v>
      </c>
      <c r="P1132" s="283"/>
      <c r="Q1132" s="283"/>
      <c r="R1132" s="283">
        <v>6</v>
      </c>
    </row>
    <row r="1133" spans="1:18" ht="36">
      <c r="A1133" s="279">
        <v>62.32</v>
      </c>
      <c r="B1133" s="272" t="s">
        <v>1957</v>
      </c>
      <c r="C1133" s="280" t="s">
        <v>1958</v>
      </c>
      <c r="D1133" s="281">
        <v>625.96</v>
      </c>
      <c r="E1133" s="281">
        <v>140.04</v>
      </c>
      <c r="F1133" s="281">
        <v>7.86</v>
      </c>
      <c r="G1133" s="281">
        <v>478.06</v>
      </c>
      <c r="H1133" s="282">
        <v>3883.85</v>
      </c>
      <c r="I1133" s="282">
        <v>1827.61</v>
      </c>
      <c r="J1133" s="282">
        <v>49.02</v>
      </c>
      <c r="K1133" s="282">
        <v>2007.22</v>
      </c>
      <c r="L1133" s="357">
        <v>6.2046296887980059</v>
      </c>
      <c r="M1133" s="357">
        <v>13.05</v>
      </c>
      <c r="N1133" s="357">
        <v>6.2366412213740459</v>
      </c>
      <c r="O1133" s="357">
        <v>4.1986779902104336</v>
      </c>
      <c r="P1133" s="283"/>
      <c r="Q1133" s="283"/>
      <c r="R1133" s="283">
        <v>6</v>
      </c>
    </row>
    <row r="1134" spans="1:18" ht="36">
      <c r="A1134" s="279">
        <v>62.33</v>
      </c>
      <c r="B1134" s="272" t="s">
        <v>1959</v>
      </c>
      <c r="C1134" s="280" t="s">
        <v>1960</v>
      </c>
      <c r="D1134" s="281">
        <v>844.11</v>
      </c>
      <c r="E1134" s="281">
        <v>216.41</v>
      </c>
      <c r="F1134" s="281">
        <v>7.86</v>
      </c>
      <c r="G1134" s="281">
        <v>619.84</v>
      </c>
      <c r="H1134" s="282">
        <v>5589.11</v>
      </c>
      <c r="I1134" s="282">
        <v>2824.24</v>
      </c>
      <c r="J1134" s="282">
        <v>49.02</v>
      </c>
      <c r="K1134" s="282">
        <v>2715.85</v>
      </c>
      <c r="L1134" s="357">
        <v>6.6213052801175198</v>
      </c>
      <c r="M1134" s="357">
        <v>13.05</v>
      </c>
      <c r="N1134" s="357">
        <v>6.2366412213740459</v>
      </c>
      <c r="O1134" s="357">
        <v>4.3815339442436754</v>
      </c>
      <c r="P1134" s="283"/>
      <c r="Q1134" s="283"/>
      <c r="R1134" s="283">
        <v>6</v>
      </c>
    </row>
    <row r="1135" spans="1:18" ht="36">
      <c r="A1135" s="279">
        <v>62.34</v>
      </c>
      <c r="B1135" s="272" t="s">
        <v>1961</v>
      </c>
      <c r="C1135" s="280" t="s">
        <v>1962</v>
      </c>
      <c r="D1135" s="281">
        <v>1105.3900000000001</v>
      </c>
      <c r="E1135" s="281">
        <v>367.08</v>
      </c>
      <c r="F1135" s="281">
        <v>7.86</v>
      </c>
      <c r="G1135" s="281">
        <v>730.45</v>
      </c>
      <c r="H1135" s="282">
        <v>7964.32</v>
      </c>
      <c r="I1135" s="282">
        <v>4790.57</v>
      </c>
      <c r="J1135" s="282">
        <v>49.02</v>
      </c>
      <c r="K1135" s="282">
        <v>3124.73</v>
      </c>
      <c r="L1135" s="357">
        <v>7.2049864753616362</v>
      </c>
      <c r="M1135" s="357">
        <v>13.05</v>
      </c>
      <c r="N1135" s="357">
        <v>6.2366412213740459</v>
      </c>
      <c r="O1135" s="357">
        <v>4.2778150455198851</v>
      </c>
      <c r="P1135" s="283"/>
      <c r="Q1135" s="283"/>
      <c r="R1135" s="283">
        <v>6</v>
      </c>
    </row>
    <row r="1136" spans="1:18" ht="12.75">
      <c r="A1136" s="426" t="s">
        <v>1963</v>
      </c>
      <c r="B1136" s="427"/>
      <c r="C1136" s="427"/>
      <c r="D1136" s="427"/>
      <c r="E1136" s="427"/>
      <c r="F1136" s="427"/>
      <c r="G1136" s="427"/>
      <c r="H1136" s="427"/>
      <c r="I1136" s="427"/>
      <c r="J1136" s="427"/>
      <c r="K1136" s="427"/>
      <c r="L1136" s="427"/>
      <c r="M1136" s="427"/>
      <c r="N1136" s="427"/>
      <c r="O1136" s="427"/>
      <c r="P1136" s="427"/>
      <c r="Q1136" s="427"/>
      <c r="R1136" s="427"/>
    </row>
    <row r="1137" spans="1:18" ht="36">
      <c r="A1137" s="279">
        <v>62.35</v>
      </c>
      <c r="B1137" s="272" t="s">
        <v>1964</v>
      </c>
      <c r="C1137" s="280" t="s">
        <v>1965</v>
      </c>
      <c r="D1137" s="281">
        <v>948.67</v>
      </c>
      <c r="E1137" s="281">
        <v>292.06</v>
      </c>
      <c r="F1137" s="281">
        <v>9.9600000000000009</v>
      </c>
      <c r="G1137" s="281">
        <v>646.65</v>
      </c>
      <c r="H1137" s="282">
        <v>6595.62</v>
      </c>
      <c r="I1137" s="282">
        <v>3811.44</v>
      </c>
      <c r="J1137" s="282">
        <v>59.63</v>
      </c>
      <c r="K1137" s="282">
        <v>2724.55</v>
      </c>
      <c r="L1137" s="357">
        <v>6.9524913826725836</v>
      </c>
      <c r="M1137" s="357">
        <v>13.05</v>
      </c>
      <c r="N1137" s="357">
        <v>5.986947791164658</v>
      </c>
      <c r="O1137" s="357">
        <v>4.2133302404701158</v>
      </c>
      <c r="P1137" s="283"/>
      <c r="Q1137" s="283"/>
      <c r="R1137" s="283">
        <v>7</v>
      </c>
    </row>
    <row r="1138" spans="1:18" ht="36">
      <c r="A1138" s="279">
        <v>62.36</v>
      </c>
      <c r="B1138" s="272" t="s">
        <v>1966</v>
      </c>
      <c r="C1138" s="280" t="s">
        <v>1967</v>
      </c>
      <c r="D1138" s="281">
        <v>1243.46</v>
      </c>
      <c r="E1138" s="281">
        <v>463.37</v>
      </c>
      <c r="F1138" s="281">
        <v>9.9600000000000009</v>
      </c>
      <c r="G1138" s="281">
        <v>770.13</v>
      </c>
      <c r="H1138" s="282">
        <v>9378.5499999999993</v>
      </c>
      <c r="I1138" s="282">
        <v>6047.13</v>
      </c>
      <c r="J1138" s="282">
        <v>59.63</v>
      </c>
      <c r="K1138" s="282">
        <v>3271.79</v>
      </c>
      <c r="L1138" s="357">
        <v>7.5423013205089013</v>
      </c>
      <c r="M1138" s="357">
        <v>13.05</v>
      </c>
      <c r="N1138" s="357">
        <v>5.986947791164658</v>
      </c>
      <c r="O1138" s="357">
        <v>4.248360666381001</v>
      </c>
      <c r="P1138" s="283"/>
      <c r="Q1138" s="283"/>
      <c r="R1138" s="283">
        <v>7</v>
      </c>
    </row>
    <row r="1139" spans="1:18" ht="36">
      <c r="A1139" s="279">
        <v>62.37</v>
      </c>
      <c r="B1139" s="272" t="s">
        <v>1968</v>
      </c>
      <c r="C1139" s="280" t="s">
        <v>1969</v>
      </c>
      <c r="D1139" s="281">
        <v>1600.86</v>
      </c>
      <c r="E1139" s="281">
        <v>685.25</v>
      </c>
      <c r="F1139" s="281">
        <v>9.9600000000000009</v>
      </c>
      <c r="G1139" s="281">
        <v>905.65</v>
      </c>
      <c r="H1139" s="282">
        <v>12801.37</v>
      </c>
      <c r="I1139" s="282">
        <v>8942.75</v>
      </c>
      <c r="J1139" s="282">
        <v>59.63</v>
      </c>
      <c r="K1139" s="282">
        <v>3798.99</v>
      </c>
      <c r="L1139" s="357">
        <v>7.9965581000212396</v>
      </c>
      <c r="M1139" s="357">
        <v>13.05</v>
      </c>
      <c r="N1139" s="357">
        <v>5.986947791164658</v>
      </c>
      <c r="O1139" s="357">
        <v>4.1947661900292603</v>
      </c>
      <c r="P1139" s="283"/>
      <c r="Q1139" s="283"/>
      <c r="R1139" s="283">
        <v>7</v>
      </c>
    </row>
    <row r="1140" spans="1:18" ht="36">
      <c r="A1140" s="279">
        <v>62.38</v>
      </c>
      <c r="B1140" s="272" t="s">
        <v>1970</v>
      </c>
      <c r="C1140" s="280" t="s">
        <v>1971</v>
      </c>
      <c r="D1140" s="281">
        <v>1039.5999999999999</v>
      </c>
      <c r="E1140" s="281">
        <v>332.92</v>
      </c>
      <c r="F1140" s="281">
        <v>9.9600000000000009</v>
      </c>
      <c r="G1140" s="281">
        <v>696.72</v>
      </c>
      <c r="H1140" s="282">
        <v>7065.73</v>
      </c>
      <c r="I1140" s="282">
        <v>4344.78</v>
      </c>
      <c r="J1140" s="282">
        <v>59.63</v>
      </c>
      <c r="K1140" s="282">
        <v>2661.32</v>
      </c>
      <c r="L1140" s="357">
        <v>6.7965852250865719</v>
      </c>
      <c r="M1140" s="357">
        <v>13.05</v>
      </c>
      <c r="N1140" s="357">
        <v>5.986947791164658</v>
      </c>
      <c r="O1140" s="357">
        <v>3.8197841313583649</v>
      </c>
      <c r="P1140" s="283"/>
      <c r="Q1140" s="283"/>
      <c r="R1140" s="283">
        <v>7</v>
      </c>
    </row>
    <row r="1141" spans="1:18" ht="36">
      <c r="A1141" s="279">
        <v>62.39</v>
      </c>
      <c r="B1141" s="272" t="s">
        <v>1972</v>
      </c>
      <c r="C1141" s="280" t="s">
        <v>1973</v>
      </c>
      <c r="D1141" s="281">
        <v>1366.84</v>
      </c>
      <c r="E1141" s="281">
        <v>528.28</v>
      </c>
      <c r="F1141" s="281">
        <v>9.9600000000000009</v>
      </c>
      <c r="G1141" s="281">
        <v>828.6</v>
      </c>
      <c r="H1141" s="282">
        <v>10204.32</v>
      </c>
      <c r="I1141" s="282">
        <v>6894.27</v>
      </c>
      <c r="J1141" s="282">
        <v>59.63</v>
      </c>
      <c r="K1141" s="282">
        <v>3250.42</v>
      </c>
      <c r="L1141" s="357">
        <v>7.4656287495244511</v>
      </c>
      <c r="M1141" s="357">
        <v>13.05</v>
      </c>
      <c r="N1141" s="357">
        <v>5.986947791164658</v>
      </c>
      <c r="O1141" s="357">
        <v>3.9227854211923727</v>
      </c>
      <c r="P1141" s="283"/>
      <c r="Q1141" s="283"/>
      <c r="R1141" s="283">
        <v>7</v>
      </c>
    </row>
    <row r="1142" spans="1:18" ht="36">
      <c r="A1142" s="279">
        <v>62.4</v>
      </c>
      <c r="B1142" s="272" t="s">
        <v>1974</v>
      </c>
      <c r="C1142" s="280" t="s">
        <v>1975</v>
      </c>
      <c r="D1142" s="281">
        <v>1784.62</v>
      </c>
      <c r="E1142" s="281">
        <v>781.12</v>
      </c>
      <c r="F1142" s="281">
        <v>9.9600000000000009</v>
      </c>
      <c r="G1142" s="281">
        <v>993.54</v>
      </c>
      <c r="H1142" s="282">
        <v>14241.89</v>
      </c>
      <c r="I1142" s="282">
        <v>10193.93</v>
      </c>
      <c r="J1142" s="282">
        <v>59.63</v>
      </c>
      <c r="K1142" s="282">
        <v>3988.33</v>
      </c>
      <c r="L1142" s="357">
        <v>7.9803487577187298</v>
      </c>
      <c r="M1142" s="357">
        <v>13.05</v>
      </c>
      <c r="N1142" s="357">
        <v>5.986947791164658</v>
      </c>
      <c r="O1142" s="357">
        <v>4.0142621333816457</v>
      </c>
      <c r="P1142" s="283"/>
      <c r="Q1142" s="283"/>
      <c r="R1142" s="283">
        <v>7</v>
      </c>
    </row>
    <row r="1143" spans="1:18" ht="12.75">
      <c r="A1143" s="426" t="s">
        <v>1976</v>
      </c>
      <c r="B1143" s="427"/>
      <c r="C1143" s="427"/>
      <c r="D1143" s="427"/>
      <c r="E1143" s="427"/>
      <c r="F1143" s="427"/>
      <c r="G1143" s="427"/>
      <c r="H1143" s="427"/>
      <c r="I1143" s="427"/>
      <c r="J1143" s="427"/>
      <c r="K1143" s="427"/>
      <c r="L1143" s="427"/>
      <c r="M1143" s="427"/>
      <c r="N1143" s="427"/>
      <c r="O1143" s="427"/>
      <c r="P1143" s="427"/>
      <c r="Q1143" s="427"/>
      <c r="R1143" s="427"/>
    </row>
    <row r="1144" spans="1:18" ht="36">
      <c r="A1144" s="279">
        <v>62.41</v>
      </c>
      <c r="B1144" s="272" t="s">
        <v>1977</v>
      </c>
      <c r="C1144" s="280" t="s">
        <v>1978</v>
      </c>
      <c r="D1144" s="281">
        <v>1104.3499999999999</v>
      </c>
      <c r="E1144" s="281">
        <v>350.88</v>
      </c>
      <c r="F1144" s="281">
        <v>9.9600000000000009</v>
      </c>
      <c r="G1144" s="281">
        <v>743.51</v>
      </c>
      <c r="H1144" s="282">
        <v>7587.13</v>
      </c>
      <c r="I1144" s="282">
        <v>4579.12</v>
      </c>
      <c r="J1144" s="282">
        <v>59.63</v>
      </c>
      <c r="K1144" s="282">
        <v>2948.38</v>
      </c>
      <c r="L1144" s="357">
        <v>6.8702223027120031</v>
      </c>
      <c r="M1144" s="357">
        <v>13.05</v>
      </c>
      <c r="N1144" s="357">
        <v>5.986947791164658</v>
      </c>
      <c r="O1144" s="357">
        <v>3.9654880230259177</v>
      </c>
      <c r="P1144" s="283"/>
      <c r="Q1144" s="283"/>
      <c r="R1144" s="283">
        <v>8</v>
      </c>
    </row>
    <row r="1145" spans="1:18" ht="36">
      <c r="A1145" s="279">
        <v>62.42</v>
      </c>
      <c r="B1145" s="272" t="s">
        <v>1979</v>
      </c>
      <c r="C1145" s="280" t="s">
        <v>1980</v>
      </c>
      <c r="D1145" s="281">
        <v>1449.23</v>
      </c>
      <c r="E1145" s="281">
        <v>555.22</v>
      </c>
      <c r="F1145" s="281">
        <v>9.9600000000000009</v>
      </c>
      <c r="G1145" s="281">
        <v>884.05</v>
      </c>
      <c r="H1145" s="282">
        <v>10877.01</v>
      </c>
      <c r="I1145" s="282">
        <v>7245.78</v>
      </c>
      <c r="J1145" s="282">
        <v>59.63</v>
      </c>
      <c r="K1145" s="282">
        <v>3571.6</v>
      </c>
      <c r="L1145" s="357">
        <v>7.5053718181379079</v>
      </c>
      <c r="M1145" s="357">
        <v>13.05</v>
      </c>
      <c r="N1145" s="357">
        <v>5.986947791164658</v>
      </c>
      <c r="O1145" s="357">
        <v>4.0400429839941179</v>
      </c>
      <c r="P1145" s="283"/>
      <c r="Q1145" s="283"/>
      <c r="R1145" s="283">
        <v>8</v>
      </c>
    </row>
    <row r="1146" spans="1:18" ht="36">
      <c r="A1146" s="279">
        <v>62.43</v>
      </c>
      <c r="B1146" s="272" t="s">
        <v>1981</v>
      </c>
      <c r="C1146" s="280" t="s">
        <v>1982</v>
      </c>
      <c r="D1146" s="281">
        <v>1896.63</v>
      </c>
      <c r="E1146" s="281">
        <v>820.44</v>
      </c>
      <c r="F1146" s="281">
        <v>9.9600000000000009</v>
      </c>
      <c r="G1146" s="281">
        <v>1066.23</v>
      </c>
      <c r="H1146" s="282">
        <v>15140.45</v>
      </c>
      <c r="I1146" s="282">
        <v>10707.06</v>
      </c>
      <c r="J1146" s="282">
        <v>59.63</v>
      </c>
      <c r="K1146" s="282">
        <v>4373.76</v>
      </c>
      <c r="L1146" s="357">
        <v>7.9828168910119528</v>
      </c>
      <c r="M1146" s="357">
        <v>13.05</v>
      </c>
      <c r="N1146" s="357">
        <v>5.986947791164658</v>
      </c>
      <c r="O1146" s="357">
        <v>4.1020792887088149</v>
      </c>
      <c r="P1146" s="283"/>
      <c r="Q1146" s="283"/>
      <c r="R1146" s="283">
        <v>8</v>
      </c>
    </row>
    <row r="1147" spans="1:18" ht="36">
      <c r="A1147" s="279">
        <v>62.44</v>
      </c>
      <c r="B1147" s="272" t="s">
        <v>1983</v>
      </c>
      <c r="C1147" s="280" t="s">
        <v>1984</v>
      </c>
      <c r="D1147" s="281">
        <v>1314.09</v>
      </c>
      <c r="E1147" s="281">
        <v>400</v>
      </c>
      <c r="F1147" s="281">
        <v>9.9600000000000009</v>
      </c>
      <c r="G1147" s="281">
        <v>904.13</v>
      </c>
      <c r="H1147" s="282">
        <v>8734.98</v>
      </c>
      <c r="I1147" s="282">
        <v>5220.2</v>
      </c>
      <c r="J1147" s="282">
        <v>59.63</v>
      </c>
      <c r="K1147" s="282">
        <v>3455.15</v>
      </c>
      <c r="L1147" s="357">
        <v>6.6471702851402874</v>
      </c>
      <c r="M1147" s="357">
        <v>13.05</v>
      </c>
      <c r="N1147" s="357">
        <v>5.986947791164658</v>
      </c>
      <c r="O1147" s="357">
        <v>3.8215190293431256</v>
      </c>
      <c r="P1147" s="283"/>
      <c r="Q1147" s="283"/>
      <c r="R1147" s="283">
        <v>8</v>
      </c>
    </row>
    <row r="1148" spans="1:18" ht="36">
      <c r="A1148" s="279">
        <v>62.45</v>
      </c>
      <c r="B1148" s="272" t="s">
        <v>1985</v>
      </c>
      <c r="C1148" s="280" t="s">
        <v>1986</v>
      </c>
      <c r="D1148" s="281">
        <v>1687.56</v>
      </c>
      <c r="E1148" s="281">
        <v>632.92999999999995</v>
      </c>
      <c r="F1148" s="281">
        <v>9.9600000000000009</v>
      </c>
      <c r="G1148" s="281">
        <v>1044.67</v>
      </c>
      <c r="H1148" s="282">
        <v>12397.92</v>
      </c>
      <c r="I1148" s="282">
        <v>8259.92</v>
      </c>
      <c r="J1148" s="282">
        <v>59.63</v>
      </c>
      <c r="K1148" s="282">
        <v>4078.37</v>
      </c>
      <c r="L1148" s="357">
        <v>7.3466543411789802</v>
      </c>
      <c r="M1148" s="357">
        <v>13.05</v>
      </c>
      <c r="N1148" s="357">
        <v>5.986947791164658</v>
      </c>
      <c r="O1148" s="357">
        <v>3.9039792470349486</v>
      </c>
      <c r="P1148" s="283"/>
      <c r="Q1148" s="283"/>
      <c r="R1148" s="283">
        <v>8</v>
      </c>
    </row>
    <row r="1149" spans="1:18" ht="36">
      <c r="A1149" s="279">
        <v>62.46</v>
      </c>
      <c r="B1149" s="272" t="s">
        <v>1987</v>
      </c>
      <c r="C1149" s="280" t="s">
        <v>1988</v>
      </c>
      <c r="D1149" s="281">
        <v>2172.12</v>
      </c>
      <c r="E1149" s="281">
        <v>935.3</v>
      </c>
      <c r="F1149" s="281">
        <v>9.9600000000000009</v>
      </c>
      <c r="G1149" s="281">
        <v>1226.8599999999999</v>
      </c>
      <c r="H1149" s="282">
        <v>17146.21</v>
      </c>
      <c r="I1149" s="282">
        <v>12206.05</v>
      </c>
      <c r="J1149" s="282">
        <v>59.63</v>
      </c>
      <c r="K1149" s="282">
        <v>4880.53</v>
      </c>
      <c r="L1149" s="357">
        <v>7.8937673793344754</v>
      </c>
      <c r="M1149" s="357">
        <v>13.05</v>
      </c>
      <c r="N1149" s="357">
        <v>5.986947791164658</v>
      </c>
      <c r="O1149" s="357">
        <v>3.9780659569959083</v>
      </c>
      <c r="P1149" s="283"/>
      <c r="Q1149" s="283"/>
      <c r="R1149" s="283">
        <v>8</v>
      </c>
    </row>
    <row r="1150" spans="1:18" ht="12.75">
      <c r="A1150" s="426" t="s">
        <v>1989</v>
      </c>
      <c r="B1150" s="427"/>
      <c r="C1150" s="427"/>
      <c r="D1150" s="427"/>
      <c r="E1150" s="427"/>
      <c r="F1150" s="427"/>
      <c r="G1150" s="427"/>
      <c r="H1150" s="427"/>
      <c r="I1150" s="427"/>
      <c r="J1150" s="427"/>
      <c r="K1150" s="427"/>
      <c r="L1150" s="427"/>
      <c r="M1150" s="427"/>
      <c r="N1150" s="427"/>
      <c r="O1150" s="427"/>
      <c r="P1150" s="427"/>
      <c r="Q1150" s="427"/>
      <c r="R1150" s="427"/>
    </row>
    <row r="1151" spans="1:18" ht="36">
      <c r="A1151" s="279">
        <v>62.47</v>
      </c>
      <c r="B1151" s="272" t="s">
        <v>1990</v>
      </c>
      <c r="C1151" s="280" t="s">
        <v>1991</v>
      </c>
      <c r="D1151" s="281">
        <v>1359.83</v>
      </c>
      <c r="E1151" s="281">
        <v>619.82000000000005</v>
      </c>
      <c r="F1151" s="281">
        <v>9.9600000000000009</v>
      </c>
      <c r="G1151" s="281">
        <v>730.05</v>
      </c>
      <c r="H1151" s="282">
        <v>11030.94</v>
      </c>
      <c r="I1151" s="282">
        <v>8088.88</v>
      </c>
      <c r="J1151" s="282">
        <v>59.63</v>
      </c>
      <c r="K1151" s="282">
        <v>2882.43</v>
      </c>
      <c r="L1151" s="357">
        <v>8.1119992940294008</v>
      </c>
      <c r="M1151" s="357">
        <v>13.05</v>
      </c>
      <c r="N1151" s="357">
        <v>5.986947791164658</v>
      </c>
      <c r="O1151" s="357">
        <v>3.9482638175467435</v>
      </c>
      <c r="P1151" s="283"/>
      <c r="Q1151" s="283"/>
      <c r="R1151" s="283">
        <v>9</v>
      </c>
    </row>
    <row r="1152" spans="1:18" ht="36">
      <c r="A1152" s="279">
        <v>62.48</v>
      </c>
      <c r="B1152" s="272" t="s">
        <v>1992</v>
      </c>
      <c r="C1152" s="280" t="s">
        <v>1993</v>
      </c>
      <c r="D1152" s="281">
        <v>1691.1</v>
      </c>
      <c r="E1152" s="281">
        <v>845.21</v>
      </c>
      <c r="F1152" s="281">
        <v>9.9600000000000009</v>
      </c>
      <c r="G1152" s="281">
        <v>835.93</v>
      </c>
      <c r="H1152" s="282">
        <v>14437.98</v>
      </c>
      <c r="I1152" s="282">
        <v>11030.29</v>
      </c>
      <c r="J1152" s="282">
        <v>59.63</v>
      </c>
      <c r="K1152" s="282">
        <v>3348.06</v>
      </c>
      <c r="L1152" s="357">
        <v>8.5376263970196913</v>
      </c>
      <c r="M1152" s="357">
        <v>13.05</v>
      </c>
      <c r="N1152" s="357">
        <v>5.986947791164658</v>
      </c>
      <c r="O1152" s="357">
        <v>4.0051918222817706</v>
      </c>
      <c r="P1152" s="283"/>
      <c r="Q1152" s="283"/>
      <c r="R1152" s="283">
        <v>9</v>
      </c>
    </row>
    <row r="1153" spans="1:18" ht="36">
      <c r="A1153" s="279">
        <v>62.49</v>
      </c>
      <c r="B1153" s="272" t="s">
        <v>1994</v>
      </c>
      <c r="C1153" s="280" t="s">
        <v>1995</v>
      </c>
      <c r="D1153" s="281">
        <v>2202.5700000000002</v>
      </c>
      <c r="E1153" s="281">
        <v>1207.44</v>
      </c>
      <c r="F1153" s="281">
        <v>9.9600000000000009</v>
      </c>
      <c r="G1153" s="281">
        <v>985.17</v>
      </c>
      <c r="H1153" s="282">
        <v>19803.5</v>
      </c>
      <c r="I1153" s="282">
        <v>15757.56</v>
      </c>
      <c r="J1153" s="282">
        <v>59.63</v>
      </c>
      <c r="K1153" s="282">
        <v>3986.31</v>
      </c>
      <c r="L1153" s="357">
        <v>8.9910876839328591</v>
      </c>
      <c r="M1153" s="357">
        <v>13.05</v>
      </c>
      <c r="N1153" s="357">
        <v>5.986947791164658</v>
      </c>
      <c r="O1153" s="357">
        <v>4.0463168793203206</v>
      </c>
      <c r="P1153" s="283"/>
      <c r="Q1153" s="283"/>
      <c r="R1153" s="283">
        <v>9</v>
      </c>
    </row>
    <row r="1154" spans="1:18" ht="36">
      <c r="A1154" s="279">
        <v>62.5</v>
      </c>
      <c r="B1154" s="272" t="s">
        <v>1996</v>
      </c>
      <c r="C1154" s="280" t="s">
        <v>1997</v>
      </c>
      <c r="D1154" s="281">
        <v>1772.67</v>
      </c>
      <c r="E1154" s="281">
        <v>872.04</v>
      </c>
      <c r="F1154" s="281">
        <v>9.9600000000000009</v>
      </c>
      <c r="G1154" s="281">
        <v>890.67</v>
      </c>
      <c r="H1154" s="282">
        <v>14829.29</v>
      </c>
      <c r="I1154" s="282">
        <v>11380.46</v>
      </c>
      <c r="J1154" s="282">
        <v>59.63</v>
      </c>
      <c r="K1154" s="282">
        <v>3389.2</v>
      </c>
      <c r="L1154" s="357">
        <v>8.365510783168892</v>
      </c>
      <c r="M1154" s="357">
        <v>13.05</v>
      </c>
      <c r="N1154" s="357">
        <v>5.986947791164658</v>
      </c>
      <c r="O1154" s="357">
        <v>3.8052252798455095</v>
      </c>
      <c r="P1154" s="283"/>
      <c r="Q1154" s="283"/>
      <c r="R1154" s="283">
        <v>9</v>
      </c>
    </row>
    <row r="1155" spans="1:18" ht="36">
      <c r="A1155" s="279">
        <v>62.51</v>
      </c>
      <c r="B1155" s="272" t="s">
        <v>1998</v>
      </c>
      <c r="C1155" s="280" t="s">
        <v>1999</v>
      </c>
      <c r="D1155" s="281">
        <v>2069.1799999999998</v>
      </c>
      <c r="E1155" s="281">
        <v>1059.8599999999999</v>
      </c>
      <c r="F1155" s="281">
        <v>9.9600000000000009</v>
      </c>
      <c r="G1155" s="281">
        <v>999.36</v>
      </c>
      <c r="H1155" s="282">
        <v>17754.990000000002</v>
      </c>
      <c r="I1155" s="282">
        <v>13831.64</v>
      </c>
      <c r="J1155" s="282">
        <v>59.63</v>
      </c>
      <c r="K1155" s="282">
        <v>3863.72</v>
      </c>
      <c r="L1155" s="357">
        <v>8.5806889685769256</v>
      </c>
      <c r="M1155" s="357">
        <v>13.05</v>
      </c>
      <c r="N1155" s="357">
        <v>5.986947791164658</v>
      </c>
      <c r="O1155" s="357">
        <v>3.8661943643932113</v>
      </c>
      <c r="P1155" s="283"/>
      <c r="Q1155" s="283"/>
      <c r="R1155" s="283">
        <v>9</v>
      </c>
    </row>
    <row r="1156" spans="1:18" ht="36">
      <c r="A1156" s="279">
        <v>62.52</v>
      </c>
      <c r="B1156" s="272" t="s">
        <v>2000</v>
      </c>
      <c r="C1156" s="280" t="s">
        <v>2001</v>
      </c>
      <c r="D1156" s="281">
        <v>2607.77</v>
      </c>
      <c r="E1156" s="281">
        <v>1452.02</v>
      </c>
      <c r="F1156" s="281">
        <v>9.9600000000000009</v>
      </c>
      <c r="G1156" s="281">
        <v>1145.79</v>
      </c>
      <c r="H1156" s="282">
        <v>23502.18</v>
      </c>
      <c r="I1156" s="282">
        <v>18949.48</v>
      </c>
      <c r="J1156" s="282">
        <v>59.63</v>
      </c>
      <c r="K1156" s="282">
        <v>4493.07</v>
      </c>
      <c r="L1156" s="357">
        <v>9.0123668881841574</v>
      </c>
      <c r="M1156" s="357">
        <v>13.05</v>
      </c>
      <c r="N1156" s="357">
        <v>5.986947791164658</v>
      </c>
      <c r="O1156" s="357">
        <v>3.9213730264708193</v>
      </c>
      <c r="P1156" s="283"/>
      <c r="Q1156" s="283"/>
      <c r="R1156" s="283">
        <v>9</v>
      </c>
    </row>
    <row r="1157" spans="1:18" ht="48">
      <c r="A1157" s="279">
        <v>62.53</v>
      </c>
      <c r="B1157" s="272" t="s">
        <v>2002</v>
      </c>
      <c r="C1157" s="280" t="s">
        <v>2003</v>
      </c>
      <c r="D1157" s="281">
        <v>1474.84</v>
      </c>
      <c r="E1157" s="281">
        <v>738.5</v>
      </c>
      <c r="F1157" s="281">
        <v>6.29</v>
      </c>
      <c r="G1157" s="281">
        <v>730.05</v>
      </c>
      <c r="H1157" s="282">
        <v>12551.97</v>
      </c>
      <c r="I1157" s="282">
        <v>9637.7000000000007</v>
      </c>
      <c r="J1157" s="282">
        <v>31.84</v>
      </c>
      <c r="K1157" s="282">
        <v>2882.43</v>
      </c>
      <c r="L1157" s="357">
        <v>8.510733367687342</v>
      </c>
      <c r="M1157" s="357">
        <v>13.05</v>
      </c>
      <c r="N1157" s="357">
        <v>5.0620031796502385</v>
      </c>
      <c r="O1157" s="357">
        <v>3.9482638175467435</v>
      </c>
      <c r="P1157" s="283"/>
      <c r="Q1157" s="283"/>
      <c r="R1157" s="283">
        <v>9</v>
      </c>
    </row>
    <row r="1158" spans="1:18" ht="48">
      <c r="A1158" s="279">
        <v>62.54</v>
      </c>
      <c r="B1158" s="272" t="s">
        <v>2004</v>
      </c>
      <c r="C1158" s="280" t="s">
        <v>2005</v>
      </c>
      <c r="D1158" s="281">
        <v>1849.45</v>
      </c>
      <c r="E1158" s="281">
        <v>1007.23</v>
      </c>
      <c r="F1158" s="281">
        <v>6.29</v>
      </c>
      <c r="G1158" s="281">
        <v>835.93</v>
      </c>
      <c r="H1158" s="282">
        <v>16524.669999999998</v>
      </c>
      <c r="I1158" s="282">
        <v>13144.77</v>
      </c>
      <c r="J1158" s="282">
        <v>31.84</v>
      </c>
      <c r="K1158" s="282">
        <v>3348.06</v>
      </c>
      <c r="L1158" s="357">
        <v>8.934910378761252</v>
      </c>
      <c r="M1158" s="357">
        <v>13.05</v>
      </c>
      <c r="N1158" s="357">
        <v>5.0620031796502385</v>
      </c>
      <c r="O1158" s="357">
        <v>4.0051918222817706</v>
      </c>
      <c r="P1158" s="283"/>
      <c r="Q1158" s="283"/>
      <c r="R1158" s="283">
        <v>9</v>
      </c>
    </row>
    <row r="1159" spans="1:18" ht="48">
      <c r="A1159" s="279">
        <v>62.55</v>
      </c>
      <c r="B1159" s="272" t="s">
        <v>2006</v>
      </c>
      <c r="C1159" s="280" t="s">
        <v>2007</v>
      </c>
      <c r="D1159" s="281">
        <v>2428</v>
      </c>
      <c r="E1159" s="281">
        <v>1436.54</v>
      </c>
      <c r="F1159" s="281">
        <v>6.29</v>
      </c>
      <c r="G1159" s="281">
        <v>985.17</v>
      </c>
      <c r="H1159" s="282">
        <v>22765.61</v>
      </c>
      <c r="I1159" s="282">
        <v>18747.46</v>
      </c>
      <c r="J1159" s="282">
        <v>31.84</v>
      </c>
      <c r="K1159" s="282">
        <v>3986.31</v>
      </c>
      <c r="L1159" s="357">
        <v>9.3762808896210874</v>
      </c>
      <c r="M1159" s="357">
        <v>13.05</v>
      </c>
      <c r="N1159" s="357">
        <v>5.0620031796502385</v>
      </c>
      <c r="O1159" s="357">
        <v>4.0463168793203206</v>
      </c>
      <c r="P1159" s="283"/>
      <c r="Q1159" s="283"/>
      <c r="R1159" s="283">
        <v>9</v>
      </c>
    </row>
    <row r="1160" spans="1:18" ht="48">
      <c r="A1160" s="279">
        <v>62.56</v>
      </c>
      <c r="B1160" s="272" t="s">
        <v>2008</v>
      </c>
      <c r="C1160" s="280" t="s">
        <v>2009</v>
      </c>
      <c r="D1160" s="281">
        <v>1937.22</v>
      </c>
      <c r="E1160" s="281">
        <v>1040.26</v>
      </c>
      <c r="F1160" s="281">
        <v>6.29</v>
      </c>
      <c r="G1160" s="281">
        <v>890.67</v>
      </c>
      <c r="H1160" s="282">
        <v>16996.78</v>
      </c>
      <c r="I1160" s="282">
        <v>13575.74</v>
      </c>
      <c r="J1160" s="282">
        <v>31.84</v>
      </c>
      <c r="K1160" s="282">
        <v>3389.2</v>
      </c>
      <c r="L1160" s="357">
        <v>8.7737995684537626</v>
      </c>
      <c r="M1160" s="357">
        <v>13.05</v>
      </c>
      <c r="N1160" s="357">
        <v>5.0620031796502385</v>
      </c>
      <c r="O1160" s="357">
        <v>3.8052252798455095</v>
      </c>
      <c r="P1160" s="283"/>
      <c r="Q1160" s="283"/>
      <c r="R1160" s="283">
        <v>9</v>
      </c>
    </row>
    <row r="1161" spans="1:18" ht="48">
      <c r="A1161" s="279">
        <v>62.57</v>
      </c>
      <c r="B1161" s="272" t="s">
        <v>2010</v>
      </c>
      <c r="C1161" s="280" t="s">
        <v>2011</v>
      </c>
      <c r="D1161" s="281">
        <v>2269.85</v>
      </c>
      <c r="E1161" s="281">
        <v>1264.2</v>
      </c>
      <c r="F1161" s="281">
        <v>6.29</v>
      </c>
      <c r="G1161" s="281">
        <v>999.36</v>
      </c>
      <c r="H1161" s="282">
        <v>20393.86</v>
      </c>
      <c r="I1161" s="282">
        <v>16498.3</v>
      </c>
      <c r="J1161" s="282">
        <v>31.84</v>
      </c>
      <c r="K1161" s="282">
        <v>3863.72</v>
      </c>
      <c r="L1161" s="357">
        <v>8.9846729960129537</v>
      </c>
      <c r="M1161" s="357">
        <v>13.05</v>
      </c>
      <c r="N1161" s="357">
        <v>5.0620031796502385</v>
      </c>
      <c r="O1161" s="357">
        <v>3.8661943643932113</v>
      </c>
      <c r="P1161" s="283"/>
      <c r="Q1161" s="283"/>
      <c r="R1161" s="283">
        <v>9</v>
      </c>
    </row>
    <row r="1162" spans="1:18" ht="48">
      <c r="A1162" s="279">
        <v>62.58</v>
      </c>
      <c r="B1162" s="272" t="s">
        <v>2012</v>
      </c>
      <c r="C1162" s="280" t="s">
        <v>2013</v>
      </c>
      <c r="D1162" s="281">
        <v>2904.42</v>
      </c>
      <c r="E1162" s="281">
        <v>1752.34</v>
      </c>
      <c r="F1162" s="281">
        <v>6.29</v>
      </c>
      <c r="G1162" s="281">
        <v>1145.79</v>
      </c>
      <c r="H1162" s="282">
        <v>27393.57</v>
      </c>
      <c r="I1162" s="282">
        <v>22868.66</v>
      </c>
      <c r="J1162" s="282">
        <v>31.84</v>
      </c>
      <c r="K1162" s="282">
        <v>4493.07</v>
      </c>
      <c r="L1162" s="357">
        <v>9.4316834342140599</v>
      </c>
      <c r="M1162" s="357">
        <v>13.05</v>
      </c>
      <c r="N1162" s="357">
        <v>5.0620031796502385</v>
      </c>
      <c r="O1162" s="357">
        <v>3.9213730264708193</v>
      </c>
      <c r="P1162" s="283"/>
      <c r="Q1162" s="283"/>
      <c r="R1162" s="283">
        <v>9</v>
      </c>
    </row>
    <row r="1163" spans="1:18" ht="48">
      <c r="A1163" s="279">
        <v>62.59</v>
      </c>
      <c r="B1163" s="272" t="s">
        <v>2014</v>
      </c>
      <c r="C1163" s="280" t="s">
        <v>2015</v>
      </c>
      <c r="D1163" s="281">
        <v>1451.1</v>
      </c>
      <c r="E1163" s="281">
        <v>714.76</v>
      </c>
      <c r="F1163" s="281">
        <v>6.29</v>
      </c>
      <c r="G1163" s="281">
        <v>730.05</v>
      </c>
      <c r="H1163" s="282">
        <v>12242.21</v>
      </c>
      <c r="I1163" s="282">
        <v>9327.94</v>
      </c>
      <c r="J1163" s="282">
        <v>31.84</v>
      </c>
      <c r="K1163" s="282">
        <v>2882.43</v>
      </c>
      <c r="L1163" s="357">
        <v>8.4365033422920543</v>
      </c>
      <c r="M1163" s="357">
        <v>13.05</v>
      </c>
      <c r="N1163" s="357">
        <v>5.0620031796502385</v>
      </c>
      <c r="O1163" s="357">
        <v>3.9482638175467435</v>
      </c>
      <c r="P1163" s="283"/>
      <c r="Q1163" s="283"/>
      <c r="R1163" s="283">
        <v>9</v>
      </c>
    </row>
    <row r="1164" spans="1:18" ht="48">
      <c r="A1164" s="279">
        <v>62.6</v>
      </c>
      <c r="B1164" s="272" t="s">
        <v>2016</v>
      </c>
      <c r="C1164" s="280" t="s">
        <v>2017</v>
      </c>
      <c r="D1164" s="281">
        <v>1817.46</v>
      </c>
      <c r="E1164" s="281">
        <v>975.24</v>
      </c>
      <c r="F1164" s="281">
        <v>6.29</v>
      </c>
      <c r="G1164" s="281">
        <v>835.93</v>
      </c>
      <c r="H1164" s="282">
        <v>16107.16</v>
      </c>
      <c r="I1164" s="282">
        <v>12727.26</v>
      </c>
      <c r="J1164" s="282">
        <v>31.84</v>
      </c>
      <c r="K1164" s="282">
        <v>3348.06</v>
      </c>
      <c r="L1164" s="357">
        <v>8.8624563951888895</v>
      </c>
      <c r="M1164" s="357">
        <v>13.05</v>
      </c>
      <c r="N1164" s="357">
        <v>5.0620031796502385</v>
      </c>
      <c r="O1164" s="357">
        <v>4.0051918222817706</v>
      </c>
      <c r="P1164" s="283"/>
      <c r="Q1164" s="283"/>
      <c r="R1164" s="283">
        <v>9</v>
      </c>
    </row>
    <row r="1165" spans="1:18" ht="48">
      <c r="A1165" s="279">
        <v>62.61</v>
      </c>
      <c r="B1165" s="272" t="s">
        <v>2018</v>
      </c>
      <c r="C1165" s="280" t="s">
        <v>2019</v>
      </c>
      <c r="D1165" s="281">
        <v>2382.6</v>
      </c>
      <c r="E1165" s="281">
        <v>1391.14</v>
      </c>
      <c r="F1165" s="281">
        <v>6.29</v>
      </c>
      <c r="G1165" s="281">
        <v>985.17</v>
      </c>
      <c r="H1165" s="282">
        <v>22173.01</v>
      </c>
      <c r="I1165" s="282">
        <v>18154.86</v>
      </c>
      <c r="J1165" s="282">
        <v>31.84</v>
      </c>
      <c r="K1165" s="282">
        <v>3986.31</v>
      </c>
      <c r="L1165" s="357">
        <v>9.3062242927893895</v>
      </c>
      <c r="M1165" s="357">
        <v>13.05</v>
      </c>
      <c r="N1165" s="357">
        <v>5.0620031796502385</v>
      </c>
      <c r="O1165" s="357">
        <v>4.0463168793203206</v>
      </c>
      <c r="P1165" s="283"/>
      <c r="Q1165" s="283"/>
      <c r="R1165" s="283">
        <v>9</v>
      </c>
    </row>
    <row r="1166" spans="1:18" ht="48">
      <c r="A1166" s="279">
        <v>62.62</v>
      </c>
      <c r="B1166" s="272" t="s">
        <v>2020</v>
      </c>
      <c r="C1166" s="280" t="s">
        <v>2021</v>
      </c>
      <c r="D1166" s="281">
        <v>1903.16</v>
      </c>
      <c r="E1166" s="281">
        <v>1006.2</v>
      </c>
      <c r="F1166" s="281">
        <v>6.29</v>
      </c>
      <c r="G1166" s="281">
        <v>890.67</v>
      </c>
      <c r="H1166" s="282">
        <v>16552.34</v>
      </c>
      <c r="I1166" s="282">
        <v>13131.3</v>
      </c>
      <c r="J1166" s="282">
        <v>31.84</v>
      </c>
      <c r="K1166" s="282">
        <v>3389.2</v>
      </c>
      <c r="L1166" s="357">
        <v>8.6972929233485363</v>
      </c>
      <c r="M1166" s="357">
        <v>13.05</v>
      </c>
      <c r="N1166" s="357">
        <v>5.0620031796502385</v>
      </c>
      <c r="O1166" s="357">
        <v>3.8052252798455095</v>
      </c>
      <c r="P1166" s="283"/>
      <c r="Q1166" s="283"/>
      <c r="R1166" s="283">
        <v>9</v>
      </c>
    </row>
    <row r="1167" spans="1:18" ht="48">
      <c r="A1167" s="279">
        <v>62.63</v>
      </c>
      <c r="B1167" s="272" t="s">
        <v>2022</v>
      </c>
      <c r="C1167" s="280" t="s">
        <v>2023</v>
      </c>
      <c r="D1167" s="281">
        <v>2228.5700000000002</v>
      </c>
      <c r="E1167" s="281">
        <v>1222.92</v>
      </c>
      <c r="F1167" s="281">
        <v>6.29</v>
      </c>
      <c r="G1167" s="281">
        <v>999.36</v>
      </c>
      <c r="H1167" s="282">
        <v>19855.14</v>
      </c>
      <c r="I1167" s="282">
        <v>15959.58</v>
      </c>
      <c r="J1167" s="282">
        <v>31.84</v>
      </c>
      <c r="K1167" s="282">
        <v>3863.72</v>
      </c>
      <c r="L1167" s="357">
        <v>8.9093634034380784</v>
      </c>
      <c r="M1167" s="357">
        <v>13.05</v>
      </c>
      <c r="N1167" s="357">
        <v>5.0620031796502385</v>
      </c>
      <c r="O1167" s="357">
        <v>3.8661943643932113</v>
      </c>
      <c r="P1167" s="283"/>
      <c r="Q1167" s="283"/>
      <c r="R1167" s="283">
        <v>9</v>
      </c>
    </row>
    <row r="1168" spans="1:18" ht="48">
      <c r="A1168" s="279">
        <v>62.64</v>
      </c>
      <c r="B1168" s="272" t="s">
        <v>2024</v>
      </c>
      <c r="C1168" s="280" t="s">
        <v>2025</v>
      </c>
      <c r="D1168" s="281">
        <v>2844.56</v>
      </c>
      <c r="E1168" s="281">
        <v>1692.48</v>
      </c>
      <c r="F1168" s="281">
        <v>6.29</v>
      </c>
      <c r="G1168" s="281">
        <v>1145.79</v>
      </c>
      <c r="H1168" s="282">
        <v>26612.43</v>
      </c>
      <c r="I1168" s="282">
        <v>22087.52</v>
      </c>
      <c r="J1168" s="282">
        <v>31.84</v>
      </c>
      <c r="K1168" s="282">
        <v>4493.07</v>
      </c>
      <c r="L1168" s="357">
        <v>9.355552352560677</v>
      </c>
      <c r="M1168" s="357">
        <v>13.05</v>
      </c>
      <c r="N1168" s="357">
        <v>5.0620031796502385</v>
      </c>
      <c r="O1168" s="357">
        <v>3.9213730264708193</v>
      </c>
      <c r="P1168" s="283"/>
      <c r="Q1168" s="283"/>
      <c r="R1168" s="283">
        <v>9</v>
      </c>
    </row>
    <row r="1169" spans="1:18" ht="12.75">
      <c r="A1169" s="426" t="s">
        <v>2026</v>
      </c>
      <c r="B1169" s="427"/>
      <c r="C1169" s="427"/>
      <c r="D1169" s="427"/>
      <c r="E1169" s="427"/>
      <c r="F1169" s="427"/>
      <c r="G1169" s="427"/>
      <c r="H1169" s="427"/>
      <c r="I1169" s="427"/>
      <c r="J1169" s="427"/>
      <c r="K1169" s="427"/>
      <c r="L1169" s="427"/>
      <c r="M1169" s="427"/>
      <c r="N1169" s="427"/>
      <c r="O1169" s="427"/>
      <c r="P1169" s="427"/>
      <c r="Q1169" s="427"/>
      <c r="R1169" s="427"/>
    </row>
    <row r="1170" spans="1:18" ht="36">
      <c r="A1170" s="279">
        <v>62.65</v>
      </c>
      <c r="B1170" s="272" t="s">
        <v>2027</v>
      </c>
      <c r="C1170" s="280" t="s">
        <v>2028</v>
      </c>
      <c r="D1170" s="281">
        <v>1128.1099999999999</v>
      </c>
      <c r="E1170" s="281">
        <v>387</v>
      </c>
      <c r="F1170" s="281">
        <v>9.9600000000000009</v>
      </c>
      <c r="G1170" s="281">
        <v>731.15</v>
      </c>
      <c r="H1170" s="282">
        <v>8007.76</v>
      </c>
      <c r="I1170" s="282">
        <v>5050.5</v>
      </c>
      <c r="J1170" s="282">
        <v>59.63</v>
      </c>
      <c r="K1170" s="282">
        <v>2897.63</v>
      </c>
      <c r="L1170" s="357">
        <v>7.0983857957114118</v>
      </c>
      <c r="M1170" s="357">
        <v>13.05</v>
      </c>
      <c r="N1170" s="357">
        <v>5.986947791164658</v>
      </c>
      <c r="O1170" s="357">
        <v>3.9631129043287974</v>
      </c>
      <c r="P1170" s="283"/>
      <c r="Q1170" s="283"/>
      <c r="R1170" s="283">
        <v>10</v>
      </c>
    </row>
    <row r="1171" spans="1:18" ht="36">
      <c r="A1171" s="279">
        <v>62.66</v>
      </c>
      <c r="B1171" s="272" t="s">
        <v>2029</v>
      </c>
      <c r="C1171" s="280" t="s">
        <v>2030</v>
      </c>
      <c r="D1171" s="281">
        <v>1462.25</v>
      </c>
      <c r="E1171" s="281">
        <v>600.62</v>
      </c>
      <c r="F1171" s="281">
        <v>9.9600000000000009</v>
      </c>
      <c r="G1171" s="281">
        <v>851.67</v>
      </c>
      <c r="H1171" s="282">
        <v>11331.63</v>
      </c>
      <c r="I1171" s="282">
        <v>7838.38</v>
      </c>
      <c r="J1171" s="282">
        <v>59.63</v>
      </c>
      <c r="K1171" s="282">
        <v>3433.62</v>
      </c>
      <c r="L1171" s="357">
        <v>7.7494477688493753</v>
      </c>
      <c r="M1171" s="357">
        <v>13.05</v>
      </c>
      <c r="N1171" s="357">
        <v>5.986947791164658</v>
      </c>
      <c r="O1171" s="357">
        <v>4.0316319701292755</v>
      </c>
      <c r="P1171" s="283"/>
      <c r="Q1171" s="283"/>
      <c r="R1171" s="283">
        <v>10</v>
      </c>
    </row>
    <row r="1172" spans="1:18" ht="36">
      <c r="A1172" s="279">
        <v>62.67</v>
      </c>
      <c r="B1172" s="272" t="s">
        <v>2031</v>
      </c>
      <c r="C1172" s="280" t="s">
        <v>2032</v>
      </c>
      <c r="D1172" s="281">
        <v>1893.5</v>
      </c>
      <c r="E1172" s="281">
        <v>866.88</v>
      </c>
      <c r="F1172" s="281">
        <v>9.9600000000000009</v>
      </c>
      <c r="G1172" s="281">
        <v>1016.66</v>
      </c>
      <c r="H1172" s="282">
        <v>15530.18</v>
      </c>
      <c r="I1172" s="282">
        <v>11313.12</v>
      </c>
      <c r="J1172" s="282">
        <v>59.63</v>
      </c>
      <c r="K1172" s="282">
        <v>4157.43</v>
      </c>
      <c r="L1172" s="357">
        <v>8.2018378663850022</v>
      </c>
      <c r="M1172" s="357">
        <v>13.05</v>
      </c>
      <c r="N1172" s="357">
        <v>5.986947791164658</v>
      </c>
      <c r="O1172" s="357">
        <v>4.0893022249326227</v>
      </c>
      <c r="P1172" s="283"/>
      <c r="Q1172" s="283"/>
      <c r="R1172" s="283">
        <v>10</v>
      </c>
    </row>
    <row r="1173" spans="1:18" ht="36">
      <c r="A1173" s="279">
        <v>62.68</v>
      </c>
      <c r="B1173" s="272" t="s">
        <v>2033</v>
      </c>
      <c r="C1173" s="280" t="s">
        <v>2034</v>
      </c>
      <c r="D1173" s="281">
        <v>1334.45</v>
      </c>
      <c r="E1173" s="281">
        <v>441.18</v>
      </c>
      <c r="F1173" s="281">
        <v>9.9600000000000009</v>
      </c>
      <c r="G1173" s="281">
        <v>883.31</v>
      </c>
      <c r="H1173" s="282">
        <v>9194.93</v>
      </c>
      <c r="I1173" s="282">
        <v>5757.57</v>
      </c>
      <c r="J1173" s="282">
        <v>59.63</v>
      </c>
      <c r="K1173" s="282">
        <v>3377.73</v>
      </c>
      <c r="L1173" s="357">
        <v>6.8904267675821496</v>
      </c>
      <c r="M1173" s="357">
        <v>13.05</v>
      </c>
      <c r="N1173" s="357">
        <v>5.986947791164658</v>
      </c>
      <c r="O1173" s="357">
        <v>3.8239462929209451</v>
      </c>
      <c r="P1173" s="283"/>
      <c r="Q1173" s="283"/>
      <c r="R1173" s="283">
        <v>10</v>
      </c>
    </row>
    <row r="1174" spans="1:18" ht="36">
      <c r="A1174" s="279">
        <v>62.69</v>
      </c>
      <c r="B1174" s="272" t="s">
        <v>2035</v>
      </c>
      <c r="C1174" s="280" t="s">
        <v>2036</v>
      </c>
      <c r="D1174" s="281">
        <v>1695.71</v>
      </c>
      <c r="E1174" s="281">
        <v>684.73</v>
      </c>
      <c r="F1174" s="281">
        <v>9.9600000000000009</v>
      </c>
      <c r="G1174" s="281">
        <v>1001.02</v>
      </c>
      <c r="H1174" s="282">
        <v>12900.47</v>
      </c>
      <c r="I1174" s="282">
        <v>8936.02</v>
      </c>
      <c r="J1174" s="282">
        <v>59.63</v>
      </c>
      <c r="K1174" s="282">
        <v>3904.82</v>
      </c>
      <c r="L1174" s="357">
        <v>7.6077100447600117</v>
      </c>
      <c r="M1174" s="357">
        <v>13.05</v>
      </c>
      <c r="N1174" s="357">
        <v>5.986947791164658</v>
      </c>
      <c r="O1174" s="357">
        <v>3.9008411420351243</v>
      </c>
      <c r="P1174" s="283"/>
      <c r="Q1174" s="283"/>
      <c r="R1174" s="283">
        <v>10</v>
      </c>
    </row>
    <row r="1175" spans="1:18" ht="36">
      <c r="A1175" s="279">
        <v>62.7</v>
      </c>
      <c r="B1175" s="272" t="s">
        <v>2037</v>
      </c>
      <c r="C1175" s="280" t="s">
        <v>2038</v>
      </c>
      <c r="D1175" s="281">
        <v>2167.0300000000002</v>
      </c>
      <c r="E1175" s="281">
        <v>988.24</v>
      </c>
      <c r="F1175" s="281">
        <v>9.9600000000000009</v>
      </c>
      <c r="G1175" s="281">
        <v>1168.83</v>
      </c>
      <c r="H1175" s="282">
        <v>17594.12</v>
      </c>
      <c r="I1175" s="282">
        <v>12896.96</v>
      </c>
      <c r="J1175" s="282">
        <v>59.63</v>
      </c>
      <c r="K1175" s="282">
        <v>4637.53</v>
      </c>
      <c r="L1175" s="357">
        <v>8.1190015828114959</v>
      </c>
      <c r="M1175" s="357">
        <v>13.05</v>
      </c>
      <c r="N1175" s="357">
        <v>5.986947791164658</v>
      </c>
      <c r="O1175" s="357">
        <v>3.9676685232240789</v>
      </c>
      <c r="P1175" s="283"/>
      <c r="Q1175" s="283"/>
      <c r="R1175" s="283">
        <v>10</v>
      </c>
    </row>
    <row r="1176" spans="1:18" ht="12.75">
      <c r="A1176" s="426" t="s">
        <v>2039</v>
      </c>
      <c r="B1176" s="427"/>
      <c r="C1176" s="427"/>
      <c r="D1176" s="427"/>
      <c r="E1176" s="427"/>
      <c r="F1176" s="427"/>
      <c r="G1176" s="427"/>
      <c r="H1176" s="427"/>
      <c r="I1176" s="427"/>
      <c r="J1176" s="427"/>
      <c r="K1176" s="427"/>
      <c r="L1176" s="427"/>
      <c r="M1176" s="427"/>
      <c r="N1176" s="427"/>
      <c r="O1176" s="427"/>
      <c r="P1176" s="427"/>
      <c r="Q1176" s="427"/>
      <c r="R1176" s="427"/>
    </row>
    <row r="1177" spans="1:18" ht="36">
      <c r="A1177" s="279">
        <v>62.71</v>
      </c>
      <c r="B1177" s="272" t="s">
        <v>2040</v>
      </c>
      <c r="C1177" s="280" t="s">
        <v>2041</v>
      </c>
      <c r="D1177" s="281">
        <v>858.92</v>
      </c>
      <c r="E1177" s="281">
        <v>229.1</v>
      </c>
      <c r="F1177" s="281">
        <v>9.9600000000000009</v>
      </c>
      <c r="G1177" s="281">
        <v>619.86</v>
      </c>
      <c r="H1177" s="282">
        <v>5497.37</v>
      </c>
      <c r="I1177" s="282">
        <v>2989.9</v>
      </c>
      <c r="J1177" s="282">
        <v>59.63</v>
      </c>
      <c r="K1177" s="282">
        <v>2447.84</v>
      </c>
      <c r="L1177" s="357">
        <v>6.4003283192846832</v>
      </c>
      <c r="M1177" s="357">
        <v>13.05</v>
      </c>
      <c r="N1177" s="357">
        <v>5.986947791164658</v>
      </c>
      <c r="O1177" s="357">
        <v>3.9490207466202047</v>
      </c>
      <c r="P1177" s="283"/>
      <c r="Q1177" s="283"/>
      <c r="R1177" s="283">
        <v>11</v>
      </c>
    </row>
    <row r="1178" spans="1:18" ht="36">
      <c r="A1178" s="279">
        <v>62.72</v>
      </c>
      <c r="B1178" s="272" t="s">
        <v>2042</v>
      </c>
      <c r="C1178" s="280" t="s">
        <v>2043</v>
      </c>
      <c r="D1178" s="281">
        <v>1186.8499999999999</v>
      </c>
      <c r="E1178" s="281">
        <v>412.8</v>
      </c>
      <c r="F1178" s="281">
        <v>9.9600000000000009</v>
      </c>
      <c r="G1178" s="281">
        <v>764.09</v>
      </c>
      <c r="H1178" s="282">
        <v>8535.84</v>
      </c>
      <c r="I1178" s="282">
        <v>5387.2</v>
      </c>
      <c r="J1178" s="282">
        <v>59.63</v>
      </c>
      <c r="K1178" s="282">
        <v>3089.01</v>
      </c>
      <c r="L1178" s="357">
        <v>7.1920124699835704</v>
      </c>
      <c r="M1178" s="357">
        <v>13.05</v>
      </c>
      <c r="N1178" s="357">
        <v>5.986947791164658</v>
      </c>
      <c r="O1178" s="357">
        <v>4.0427305683885404</v>
      </c>
      <c r="P1178" s="283"/>
      <c r="Q1178" s="283"/>
      <c r="R1178" s="283">
        <v>11</v>
      </c>
    </row>
    <row r="1179" spans="1:18" ht="36">
      <c r="A1179" s="279">
        <v>62.73</v>
      </c>
      <c r="B1179" s="272" t="s">
        <v>2044</v>
      </c>
      <c r="C1179" s="280" t="s">
        <v>2045</v>
      </c>
      <c r="D1179" s="281">
        <v>1442.69</v>
      </c>
      <c r="E1179" s="281">
        <v>502.58</v>
      </c>
      <c r="F1179" s="281">
        <v>9.9600000000000009</v>
      </c>
      <c r="G1179" s="281">
        <v>930.15</v>
      </c>
      <c r="H1179" s="282">
        <v>10347.42</v>
      </c>
      <c r="I1179" s="282">
        <v>6558.92</v>
      </c>
      <c r="J1179" s="282">
        <v>59.63</v>
      </c>
      <c r="K1179" s="282">
        <v>3728.87</v>
      </c>
      <c r="L1179" s="357">
        <v>7.1723100596801803</v>
      </c>
      <c r="M1179" s="357">
        <v>13.05</v>
      </c>
      <c r="N1179" s="357">
        <v>5.986947791164658</v>
      </c>
      <c r="O1179" s="357">
        <v>4.0088910390797183</v>
      </c>
      <c r="P1179" s="283"/>
      <c r="Q1179" s="283"/>
      <c r="R1179" s="283">
        <v>11</v>
      </c>
    </row>
    <row r="1180" spans="1:18" ht="36">
      <c r="A1180" s="279">
        <v>62.74</v>
      </c>
      <c r="B1180" s="272" t="s">
        <v>2046</v>
      </c>
      <c r="C1180" s="280" t="s">
        <v>2047</v>
      </c>
      <c r="D1180" s="281">
        <v>945.46</v>
      </c>
      <c r="E1180" s="281">
        <v>261.10000000000002</v>
      </c>
      <c r="F1180" s="281">
        <v>9.9600000000000009</v>
      </c>
      <c r="G1180" s="281">
        <v>674.4</v>
      </c>
      <c r="H1180" s="282">
        <v>6066.32</v>
      </c>
      <c r="I1180" s="282">
        <v>3407.4</v>
      </c>
      <c r="J1180" s="282">
        <v>59.63</v>
      </c>
      <c r="K1180" s="282">
        <v>2599.29</v>
      </c>
      <c r="L1180" s="357">
        <v>6.4162629830981741</v>
      </c>
      <c r="M1180" s="357">
        <v>13.05</v>
      </c>
      <c r="N1180" s="357">
        <v>5.986947791164658</v>
      </c>
      <c r="O1180" s="357">
        <v>3.8542259786476869</v>
      </c>
      <c r="P1180" s="283"/>
      <c r="Q1180" s="283"/>
      <c r="R1180" s="283">
        <v>11</v>
      </c>
    </row>
    <row r="1181" spans="1:18" ht="36">
      <c r="A1181" s="279">
        <v>62.75</v>
      </c>
      <c r="B1181" s="272" t="s">
        <v>2048</v>
      </c>
      <c r="C1181" s="280" t="s">
        <v>2049</v>
      </c>
      <c r="D1181" s="281">
        <v>1299.18</v>
      </c>
      <c r="E1181" s="281">
        <v>470.59</v>
      </c>
      <c r="F1181" s="281">
        <v>9.9600000000000009</v>
      </c>
      <c r="G1181" s="281">
        <v>818.63</v>
      </c>
      <c r="H1181" s="282">
        <v>9441.5</v>
      </c>
      <c r="I1181" s="282">
        <v>6141.41</v>
      </c>
      <c r="J1181" s="282">
        <v>59.63</v>
      </c>
      <c r="K1181" s="282">
        <v>3240.46</v>
      </c>
      <c r="L1181" s="357">
        <v>7.2672762819624683</v>
      </c>
      <c r="M1181" s="357">
        <v>13.05</v>
      </c>
      <c r="N1181" s="357">
        <v>5.986947791164658</v>
      </c>
      <c r="O1181" s="357">
        <v>3.9583939020070118</v>
      </c>
      <c r="P1181" s="283"/>
      <c r="Q1181" s="283"/>
      <c r="R1181" s="283">
        <v>11</v>
      </c>
    </row>
    <row r="1182" spans="1:18" ht="36">
      <c r="A1182" s="279">
        <v>62.76</v>
      </c>
      <c r="B1182" s="272" t="s">
        <v>2050</v>
      </c>
      <c r="C1182" s="280" t="s">
        <v>2051</v>
      </c>
      <c r="D1182" s="281">
        <v>1567.62</v>
      </c>
      <c r="E1182" s="281">
        <v>572.97</v>
      </c>
      <c r="F1182" s="281">
        <v>9.9600000000000009</v>
      </c>
      <c r="G1182" s="281">
        <v>984.69</v>
      </c>
      <c r="H1182" s="282">
        <v>11417.38</v>
      </c>
      <c r="I1182" s="282">
        <v>7477.43</v>
      </c>
      <c r="J1182" s="282">
        <v>59.63</v>
      </c>
      <c r="K1182" s="282">
        <v>3880.32</v>
      </c>
      <c r="L1182" s="357">
        <v>7.2832574220793305</v>
      </c>
      <c r="M1182" s="357">
        <v>13.05</v>
      </c>
      <c r="N1182" s="357">
        <v>5.986947791164658</v>
      </c>
      <c r="O1182" s="357">
        <v>3.9406513725131767</v>
      </c>
      <c r="P1182" s="283"/>
      <c r="Q1182" s="283"/>
      <c r="R1182" s="283">
        <v>11</v>
      </c>
    </row>
    <row r="1183" spans="1:18" ht="12.75">
      <c r="A1183" s="426" t="s">
        <v>2052</v>
      </c>
      <c r="B1183" s="427"/>
      <c r="C1183" s="427"/>
      <c r="D1183" s="427"/>
      <c r="E1183" s="427"/>
      <c r="F1183" s="427"/>
      <c r="G1183" s="427"/>
      <c r="H1183" s="427"/>
      <c r="I1183" s="427"/>
      <c r="J1183" s="427"/>
      <c r="K1183" s="427"/>
      <c r="L1183" s="427"/>
      <c r="M1183" s="427"/>
      <c r="N1183" s="427"/>
      <c r="O1183" s="427"/>
      <c r="P1183" s="427"/>
      <c r="Q1183" s="427"/>
      <c r="R1183" s="427"/>
    </row>
    <row r="1184" spans="1:18" ht="36">
      <c r="A1184" s="279">
        <v>62.77</v>
      </c>
      <c r="B1184" s="272" t="s">
        <v>2053</v>
      </c>
      <c r="C1184" s="280" t="s">
        <v>2054</v>
      </c>
      <c r="D1184" s="281">
        <v>1178.76</v>
      </c>
      <c r="E1184" s="281">
        <v>366.7</v>
      </c>
      <c r="F1184" s="281">
        <v>9.9600000000000009</v>
      </c>
      <c r="G1184" s="281">
        <v>802.1</v>
      </c>
      <c r="H1184" s="282">
        <v>8092.25</v>
      </c>
      <c r="I1184" s="282">
        <v>4785.51</v>
      </c>
      <c r="J1184" s="282">
        <v>59.63</v>
      </c>
      <c r="K1184" s="282">
        <v>3247.11</v>
      </c>
      <c r="L1184" s="357">
        <v>6.8650531066544502</v>
      </c>
      <c r="M1184" s="357">
        <v>13.05</v>
      </c>
      <c r="N1184" s="357">
        <v>5.986947791164658</v>
      </c>
      <c r="O1184" s="357">
        <v>4.0482608153596811</v>
      </c>
      <c r="P1184" s="283"/>
      <c r="Q1184" s="283"/>
      <c r="R1184" s="283">
        <v>12</v>
      </c>
    </row>
    <row r="1185" spans="1:18" ht="36">
      <c r="A1185" s="279">
        <v>62.78</v>
      </c>
      <c r="B1185" s="272" t="s">
        <v>2055</v>
      </c>
      <c r="C1185" s="280" t="s">
        <v>2056</v>
      </c>
      <c r="D1185" s="281">
        <v>1576.34</v>
      </c>
      <c r="E1185" s="281">
        <v>616.29</v>
      </c>
      <c r="F1185" s="281">
        <v>9.9600000000000009</v>
      </c>
      <c r="G1185" s="281">
        <v>950.09</v>
      </c>
      <c r="H1185" s="282">
        <v>12023.95</v>
      </c>
      <c r="I1185" s="282">
        <v>8042.58</v>
      </c>
      <c r="J1185" s="282">
        <v>59.63</v>
      </c>
      <c r="K1185" s="282">
        <v>3921.74</v>
      </c>
      <c r="L1185" s="357">
        <v>7.6277643148051828</v>
      </c>
      <c r="M1185" s="357">
        <v>13.05</v>
      </c>
      <c r="N1185" s="357">
        <v>5.986947791164658</v>
      </c>
      <c r="O1185" s="357">
        <v>4.1277563178225218</v>
      </c>
      <c r="P1185" s="283"/>
      <c r="Q1185" s="283"/>
      <c r="R1185" s="283">
        <v>12</v>
      </c>
    </row>
    <row r="1186" spans="1:18" ht="36">
      <c r="A1186" s="279">
        <v>62.79</v>
      </c>
      <c r="B1186" s="272" t="s">
        <v>2057</v>
      </c>
      <c r="C1186" s="280" t="s">
        <v>2058</v>
      </c>
      <c r="D1186" s="281">
        <v>2047.48</v>
      </c>
      <c r="E1186" s="281">
        <v>941.94</v>
      </c>
      <c r="F1186" s="281">
        <v>9.9600000000000009</v>
      </c>
      <c r="G1186" s="281">
        <v>1095.58</v>
      </c>
      <c r="H1186" s="282">
        <v>16816.16</v>
      </c>
      <c r="I1186" s="282">
        <v>12292.37</v>
      </c>
      <c r="J1186" s="282">
        <v>59.63</v>
      </c>
      <c r="K1186" s="282">
        <v>4464.16</v>
      </c>
      <c r="L1186" s="357">
        <v>8.2131009826713814</v>
      </c>
      <c r="M1186" s="357">
        <v>13.05</v>
      </c>
      <c r="N1186" s="357">
        <v>5.986947791164658</v>
      </c>
      <c r="O1186" s="357">
        <v>4.0747001588199856</v>
      </c>
      <c r="P1186" s="283"/>
      <c r="Q1186" s="283"/>
      <c r="R1186" s="283">
        <v>12</v>
      </c>
    </row>
    <row r="1187" spans="1:18" ht="12.75">
      <c r="A1187" s="426" t="s">
        <v>2059</v>
      </c>
      <c r="B1187" s="427"/>
      <c r="C1187" s="427"/>
      <c r="D1187" s="427"/>
      <c r="E1187" s="427"/>
      <c r="F1187" s="427"/>
      <c r="G1187" s="427"/>
      <c r="H1187" s="427"/>
      <c r="I1187" s="427"/>
      <c r="J1187" s="427"/>
      <c r="K1187" s="427"/>
      <c r="L1187" s="427"/>
      <c r="M1187" s="427"/>
      <c r="N1187" s="427"/>
      <c r="O1187" s="427"/>
      <c r="P1187" s="427"/>
      <c r="Q1187" s="427"/>
      <c r="R1187" s="427"/>
    </row>
    <row r="1188" spans="1:18" ht="36">
      <c r="A1188" s="279">
        <v>62.8</v>
      </c>
      <c r="B1188" s="272" t="s">
        <v>2060</v>
      </c>
      <c r="C1188" s="280" t="s">
        <v>2061</v>
      </c>
      <c r="D1188" s="281">
        <v>1428.54</v>
      </c>
      <c r="E1188" s="281">
        <v>435.37</v>
      </c>
      <c r="F1188" s="281">
        <v>9.9600000000000009</v>
      </c>
      <c r="G1188" s="281">
        <v>983.21</v>
      </c>
      <c r="H1188" s="282">
        <v>9676.61</v>
      </c>
      <c r="I1188" s="282">
        <v>5681.58</v>
      </c>
      <c r="J1188" s="282">
        <v>59.63</v>
      </c>
      <c r="K1188" s="282">
        <v>3935.4</v>
      </c>
      <c r="L1188" s="357">
        <v>6.7737760230725081</v>
      </c>
      <c r="M1188" s="357">
        <v>13.05</v>
      </c>
      <c r="N1188" s="357">
        <v>5.986947791164658</v>
      </c>
      <c r="O1188" s="357">
        <v>4.0026037163983279</v>
      </c>
      <c r="P1188" s="283"/>
      <c r="Q1188" s="283"/>
      <c r="R1188" s="283">
        <v>13</v>
      </c>
    </row>
    <row r="1189" spans="1:18" ht="36">
      <c r="A1189" s="279">
        <v>62.81</v>
      </c>
      <c r="B1189" s="272" t="s">
        <v>2062</v>
      </c>
      <c r="C1189" s="280" t="s">
        <v>2063</v>
      </c>
      <c r="D1189" s="281">
        <v>1898.9</v>
      </c>
      <c r="E1189" s="281">
        <v>738.17</v>
      </c>
      <c r="F1189" s="281">
        <v>9.9600000000000009</v>
      </c>
      <c r="G1189" s="281">
        <v>1150.77</v>
      </c>
      <c r="H1189" s="282">
        <v>14372.5</v>
      </c>
      <c r="I1189" s="282">
        <v>9633.14</v>
      </c>
      <c r="J1189" s="282">
        <v>59.63</v>
      </c>
      <c r="K1189" s="282">
        <v>4679.7299999999996</v>
      </c>
      <c r="L1189" s="357">
        <v>7.568855653272947</v>
      </c>
      <c r="M1189" s="357">
        <v>13.05</v>
      </c>
      <c r="N1189" s="357">
        <v>5.986947791164658</v>
      </c>
      <c r="O1189" s="357">
        <v>4.0666075757970743</v>
      </c>
      <c r="P1189" s="283"/>
      <c r="Q1189" s="283"/>
      <c r="R1189" s="283">
        <v>13</v>
      </c>
    </row>
    <row r="1190" spans="1:18" ht="36">
      <c r="A1190" s="279">
        <v>62.82</v>
      </c>
      <c r="B1190" s="272" t="s">
        <v>2064</v>
      </c>
      <c r="C1190" s="280" t="s">
        <v>2065</v>
      </c>
      <c r="D1190" s="281">
        <v>2436.3000000000002</v>
      </c>
      <c r="E1190" s="281">
        <v>1126.56</v>
      </c>
      <c r="F1190" s="281">
        <v>9.9600000000000009</v>
      </c>
      <c r="G1190" s="281">
        <v>1299.78</v>
      </c>
      <c r="H1190" s="282">
        <v>20003.240000000002</v>
      </c>
      <c r="I1190" s="282">
        <v>14701.69</v>
      </c>
      <c r="J1190" s="282">
        <v>59.63</v>
      </c>
      <c r="K1190" s="282">
        <v>5241.92</v>
      </c>
      <c r="L1190" s="357">
        <v>8.2104995279727451</v>
      </c>
      <c r="M1190" s="357">
        <v>13.05</v>
      </c>
      <c r="N1190" s="357">
        <v>5.986947791164658</v>
      </c>
      <c r="O1190" s="357">
        <v>4.0329286494637557</v>
      </c>
      <c r="P1190" s="283"/>
      <c r="Q1190" s="283"/>
      <c r="R1190" s="283">
        <v>13</v>
      </c>
    </row>
    <row r="1191" spans="1:18" ht="12.75">
      <c r="A1191" s="426" t="s">
        <v>2066</v>
      </c>
      <c r="B1191" s="427"/>
      <c r="C1191" s="427"/>
      <c r="D1191" s="427"/>
      <c r="E1191" s="427"/>
      <c r="F1191" s="427"/>
      <c r="G1191" s="427"/>
      <c r="H1191" s="427"/>
      <c r="I1191" s="427"/>
      <c r="J1191" s="427"/>
      <c r="K1191" s="427"/>
      <c r="L1191" s="427"/>
      <c r="M1191" s="427"/>
      <c r="N1191" s="427"/>
      <c r="O1191" s="427"/>
      <c r="P1191" s="427"/>
      <c r="Q1191" s="427"/>
      <c r="R1191" s="427"/>
    </row>
    <row r="1192" spans="1:18" ht="36">
      <c r="A1192" s="279">
        <v>62.83</v>
      </c>
      <c r="B1192" s="272" t="s">
        <v>2067</v>
      </c>
      <c r="C1192" s="280" t="s">
        <v>2068</v>
      </c>
      <c r="D1192" s="281">
        <v>1919.5</v>
      </c>
      <c r="E1192" s="281">
        <v>949.03</v>
      </c>
      <c r="F1192" s="281">
        <v>9.9600000000000009</v>
      </c>
      <c r="G1192" s="281">
        <v>960.51</v>
      </c>
      <c r="H1192" s="282">
        <v>16277.97</v>
      </c>
      <c r="I1192" s="282">
        <v>12384.88</v>
      </c>
      <c r="J1192" s="282">
        <v>59.63</v>
      </c>
      <c r="K1192" s="282">
        <v>3833.46</v>
      </c>
      <c r="L1192" s="357">
        <v>8.48031779109143</v>
      </c>
      <c r="M1192" s="357">
        <v>13.05</v>
      </c>
      <c r="N1192" s="357">
        <v>5.986947791164658</v>
      </c>
      <c r="O1192" s="357">
        <v>3.9910672455258145</v>
      </c>
      <c r="P1192" s="283"/>
      <c r="Q1192" s="283"/>
      <c r="R1192" s="283">
        <v>14</v>
      </c>
    </row>
    <row r="1193" spans="1:18" ht="36">
      <c r="A1193" s="279">
        <v>62.84</v>
      </c>
      <c r="B1193" s="272" t="s">
        <v>2069</v>
      </c>
      <c r="C1193" s="280" t="s">
        <v>2070</v>
      </c>
      <c r="D1193" s="281">
        <v>2436</v>
      </c>
      <c r="E1193" s="281">
        <v>1342.39</v>
      </c>
      <c r="F1193" s="281">
        <v>9.9600000000000009</v>
      </c>
      <c r="G1193" s="281">
        <v>1083.6500000000001</v>
      </c>
      <c r="H1193" s="282">
        <v>21958.73</v>
      </c>
      <c r="I1193" s="282">
        <v>17518.32</v>
      </c>
      <c r="J1193" s="282">
        <v>59.63</v>
      </c>
      <c r="K1193" s="282">
        <v>4380.78</v>
      </c>
      <c r="L1193" s="357">
        <v>9.0142569786535294</v>
      </c>
      <c r="M1193" s="357">
        <v>13.05</v>
      </c>
      <c r="N1193" s="357">
        <v>5.986947791164658</v>
      </c>
      <c r="O1193" s="357">
        <v>4.0426152355465321</v>
      </c>
      <c r="P1193" s="283"/>
      <c r="Q1193" s="283"/>
      <c r="R1193" s="283">
        <v>14</v>
      </c>
    </row>
    <row r="1194" spans="1:18" ht="36">
      <c r="A1194" s="279">
        <v>62.85</v>
      </c>
      <c r="B1194" s="272" t="s">
        <v>2071</v>
      </c>
      <c r="C1194" s="280" t="s">
        <v>2072</v>
      </c>
      <c r="D1194" s="281">
        <v>3157.15</v>
      </c>
      <c r="E1194" s="281">
        <v>1898.05</v>
      </c>
      <c r="F1194" s="281">
        <v>9.9600000000000009</v>
      </c>
      <c r="G1194" s="281">
        <v>1249.1400000000001</v>
      </c>
      <c r="H1194" s="282">
        <v>29937.42</v>
      </c>
      <c r="I1194" s="282">
        <v>24769.759999999998</v>
      </c>
      <c r="J1194" s="282">
        <v>59.63</v>
      </c>
      <c r="K1194" s="282">
        <v>5108.03</v>
      </c>
      <c r="L1194" s="357">
        <v>9.4824192705446357</v>
      </c>
      <c r="M1194" s="357">
        <v>13.05</v>
      </c>
      <c r="N1194" s="357">
        <v>5.986947791164658</v>
      </c>
      <c r="O1194" s="357">
        <v>4.0892373953279852</v>
      </c>
      <c r="P1194" s="283"/>
      <c r="Q1194" s="283"/>
      <c r="R1194" s="283">
        <v>14</v>
      </c>
    </row>
    <row r="1195" spans="1:18" ht="12.75">
      <c r="A1195" s="426" t="s">
        <v>2073</v>
      </c>
      <c r="B1195" s="427"/>
      <c r="C1195" s="427"/>
      <c r="D1195" s="427"/>
      <c r="E1195" s="427"/>
      <c r="F1195" s="427"/>
      <c r="G1195" s="427"/>
      <c r="H1195" s="427"/>
      <c r="I1195" s="427"/>
      <c r="J1195" s="427"/>
      <c r="K1195" s="427"/>
      <c r="L1195" s="427"/>
      <c r="M1195" s="427"/>
      <c r="N1195" s="427"/>
      <c r="O1195" s="427"/>
      <c r="P1195" s="427"/>
      <c r="Q1195" s="427"/>
      <c r="R1195" s="427"/>
    </row>
    <row r="1196" spans="1:18" ht="36">
      <c r="A1196" s="279">
        <v>62.86</v>
      </c>
      <c r="B1196" s="272" t="s">
        <v>2074</v>
      </c>
      <c r="C1196" s="280" t="s">
        <v>2075</v>
      </c>
      <c r="D1196" s="281">
        <v>1505.42</v>
      </c>
      <c r="E1196" s="281">
        <v>540.32000000000005</v>
      </c>
      <c r="F1196" s="281">
        <v>9.9600000000000009</v>
      </c>
      <c r="G1196" s="281">
        <v>955.14</v>
      </c>
      <c r="H1196" s="282">
        <v>10946.57</v>
      </c>
      <c r="I1196" s="282">
        <v>7051.23</v>
      </c>
      <c r="J1196" s="282">
        <v>59.63</v>
      </c>
      <c r="K1196" s="282">
        <v>3835.71</v>
      </c>
      <c r="L1196" s="357">
        <v>7.2714391996917795</v>
      </c>
      <c r="M1196" s="357">
        <v>13.05</v>
      </c>
      <c r="N1196" s="357">
        <v>5.986947791164658</v>
      </c>
      <c r="O1196" s="357">
        <v>4.0158615490922793</v>
      </c>
      <c r="P1196" s="283"/>
      <c r="Q1196" s="283"/>
      <c r="R1196" s="283">
        <v>15</v>
      </c>
    </row>
    <row r="1197" spans="1:18" ht="36">
      <c r="A1197" s="279">
        <v>62.87</v>
      </c>
      <c r="B1197" s="272" t="s">
        <v>2076</v>
      </c>
      <c r="C1197" s="280" t="s">
        <v>2077</v>
      </c>
      <c r="D1197" s="281">
        <v>1926.86</v>
      </c>
      <c r="E1197" s="281">
        <v>841.85</v>
      </c>
      <c r="F1197" s="281">
        <v>9.9600000000000009</v>
      </c>
      <c r="G1197" s="281">
        <v>1075.05</v>
      </c>
      <c r="H1197" s="282">
        <v>15366.53</v>
      </c>
      <c r="I1197" s="282">
        <v>10986.23</v>
      </c>
      <c r="J1197" s="282">
        <v>59.63</v>
      </c>
      <c r="K1197" s="282">
        <v>4320.67</v>
      </c>
      <c r="L1197" s="357">
        <v>7.9749073622370084</v>
      </c>
      <c r="M1197" s="357">
        <v>13.05</v>
      </c>
      <c r="N1197" s="357">
        <v>5.986947791164658</v>
      </c>
      <c r="O1197" s="357">
        <v>4.0190409748383802</v>
      </c>
      <c r="P1197" s="283"/>
      <c r="Q1197" s="283"/>
      <c r="R1197" s="283">
        <v>15</v>
      </c>
    </row>
    <row r="1198" spans="1:18" ht="36">
      <c r="A1198" s="279">
        <v>62.88</v>
      </c>
      <c r="B1198" s="272" t="s">
        <v>2078</v>
      </c>
      <c r="C1198" s="280" t="s">
        <v>2079</v>
      </c>
      <c r="D1198" s="281">
        <v>2495.66</v>
      </c>
      <c r="E1198" s="281">
        <v>1221.78</v>
      </c>
      <c r="F1198" s="281">
        <v>9.9600000000000009</v>
      </c>
      <c r="G1198" s="281">
        <v>1263.92</v>
      </c>
      <c r="H1198" s="282">
        <v>21142.23</v>
      </c>
      <c r="I1198" s="282">
        <v>15944.32</v>
      </c>
      <c r="J1198" s="282">
        <v>59.63</v>
      </c>
      <c r="K1198" s="282">
        <v>5138.28</v>
      </c>
      <c r="L1198" s="357">
        <v>8.4715986953351017</v>
      </c>
      <c r="M1198" s="357">
        <v>13.05</v>
      </c>
      <c r="N1198" s="357">
        <v>5.986947791164658</v>
      </c>
      <c r="O1198" s="357">
        <v>4.0653522374833848</v>
      </c>
      <c r="P1198" s="283"/>
      <c r="Q1198" s="283"/>
      <c r="R1198" s="283">
        <v>15</v>
      </c>
    </row>
    <row r="1199" spans="1:18" ht="12.75">
      <c r="A1199" s="426" t="s">
        <v>2080</v>
      </c>
      <c r="B1199" s="427"/>
      <c r="C1199" s="427"/>
      <c r="D1199" s="427"/>
      <c r="E1199" s="427"/>
      <c r="F1199" s="427"/>
      <c r="G1199" s="427"/>
      <c r="H1199" s="427"/>
      <c r="I1199" s="427"/>
      <c r="J1199" s="427"/>
      <c r="K1199" s="427"/>
      <c r="L1199" s="427"/>
      <c r="M1199" s="427"/>
      <c r="N1199" s="427"/>
      <c r="O1199" s="427"/>
      <c r="P1199" s="427"/>
      <c r="Q1199" s="427"/>
      <c r="R1199" s="427"/>
    </row>
    <row r="1200" spans="1:18" ht="48">
      <c r="A1200" s="279">
        <v>62.89</v>
      </c>
      <c r="B1200" s="272" t="s">
        <v>2081</v>
      </c>
      <c r="C1200" s="280" t="s">
        <v>2082</v>
      </c>
      <c r="D1200" s="281">
        <v>2234.0700000000002</v>
      </c>
      <c r="E1200" s="281">
        <v>284.11</v>
      </c>
      <c r="F1200" s="281">
        <v>9.9600000000000009</v>
      </c>
      <c r="G1200" s="281">
        <v>1940</v>
      </c>
      <c r="H1200" s="282">
        <v>10421.040000000001</v>
      </c>
      <c r="I1200" s="282">
        <v>3707.74</v>
      </c>
      <c r="J1200" s="282">
        <v>59.63</v>
      </c>
      <c r="K1200" s="282">
        <v>6653.67</v>
      </c>
      <c r="L1200" s="357">
        <v>4.6645986920732119</v>
      </c>
      <c r="M1200" s="357">
        <v>13.05</v>
      </c>
      <c r="N1200" s="357">
        <v>5.986947791164658</v>
      </c>
      <c r="O1200" s="357">
        <v>3.4297268041237112</v>
      </c>
      <c r="P1200" s="283"/>
      <c r="Q1200" s="283"/>
      <c r="R1200" s="283">
        <v>16</v>
      </c>
    </row>
    <row r="1201" spans="1:18" ht="48">
      <c r="A1201" s="279">
        <v>62.9</v>
      </c>
      <c r="B1201" s="272" t="s">
        <v>2083</v>
      </c>
      <c r="C1201" s="280" t="s">
        <v>2084</v>
      </c>
      <c r="D1201" s="281">
        <v>1850</v>
      </c>
      <c r="E1201" s="281">
        <v>207.33</v>
      </c>
      <c r="F1201" s="281">
        <v>9.9600000000000009</v>
      </c>
      <c r="G1201" s="281">
        <v>1632.71</v>
      </c>
      <c r="H1201" s="282">
        <v>8025.28</v>
      </c>
      <c r="I1201" s="282">
        <v>2705.72</v>
      </c>
      <c r="J1201" s="282">
        <v>59.63</v>
      </c>
      <c r="K1201" s="282">
        <v>5259.93</v>
      </c>
      <c r="L1201" s="357">
        <v>4.3379891891891891</v>
      </c>
      <c r="M1201" s="357">
        <v>13.05</v>
      </c>
      <c r="N1201" s="357">
        <v>5.986947791164658</v>
      </c>
      <c r="O1201" s="357">
        <v>3.2215947718823306</v>
      </c>
      <c r="P1201" s="283"/>
      <c r="Q1201" s="283"/>
      <c r="R1201" s="283">
        <v>16</v>
      </c>
    </row>
    <row r="1202" spans="1:18" ht="48">
      <c r="A1202" s="279">
        <v>62.91</v>
      </c>
      <c r="B1202" s="272" t="s">
        <v>2085</v>
      </c>
      <c r="C1202" s="280" t="s">
        <v>2086</v>
      </c>
      <c r="D1202" s="281">
        <v>2091.21</v>
      </c>
      <c r="E1202" s="281">
        <v>289.17</v>
      </c>
      <c r="F1202" s="281">
        <v>9.9600000000000009</v>
      </c>
      <c r="G1202" s="281">
        <v>1792.08</v>
      </c>
      <c r="H1202" s="282">
        <v>9837.06</v>
      </c>
      <c r="I1202" s="282">
        <v>3773.73</v>
      </c>
      <c r="J1202" s="282">
        <v>59.63</v>
      </c>
      <c r="K1202" s="282">
        <v>6003.7</v>
      </c>
      <c r="L1202" s="357">
        <v>4.7040039020471403</v>
      </c>
      <c r="M1202" s="357">
        <v>13.05</v>
      </c>
      <c r="N1202" s="357">
        <v>5.986947791164658</v>
      </c>
      <c r="O1202" s="357">
        <v>3.3501294585063168</v>
      </c>
      <c r="P1202" s="283"/>
      <c r="Q1202" s="283"/>
      <c r="R1202" s="283">
        <v>16</v>
      </c>
    </row>
    <row r="1203" spans="1:18" ht="48">
      <c r="A1203" s="279">
        <v>62.92</v>
      </c>
      <c r="B1203" s="272" t="s">
        <v>2087</v>
      </c>
      <c r="C1203" s="280" t="s">
        <v>2088</v>
      </c>
      <c r="D1203" s="281">
        <v>2255.4299999999998</v>
      </c>
      <c r="E1203" s="281">
        <v>305.47000000000003</v>
      </c>
      <c r="F1203" s="281">
        <v>9.9600000000000009</v>
      </c>
      <c r="G1203" s="281">
        <v>1940</v>
      </c>
      <c r="H1203" s="282">
        <v>10699.83</v>
      </c>
      <c r="I1203" s="282">
        <v>3986.53</v>
      </c>
      <c r="J1203" s="282">
        <v>59.63</v>
      </c>
      <c r="K1203" s="282">
        <v>6653.67</v>
      </c>
      <c r="L1203" s="357">
        <v>4.7440310716803449</v>
      </c>
      <c r="M1203" s="357">
        <v>13.05</v>
      </c>
      <c r="N1203" s="357">
        <v>5.986947791164658</v>
      </c>
      <c r="O1203" s="357">
        <v>3.4297268041237112</v>
      </c>
      <c r="P1203" s="283"/>
      <c r="Q1203" s="283"/>
      <c r="R1203" s="283">
        <v>16</v>
      </c>
    </row>
    <row r="1204" spans="1:18" ht="36">
      <c r="A1204" s="279">
        <v>62.93</v>
      </c>
      <c r="B1204" s="272" t="s">
        <v>2089</v>
      </c>
      <c r="C1204" s="280" t="s">
        <v>2090</v>
      </c>
      <c r="D1204" s="281">
        <v>2299.6999999999998</v>
      </c>
      <c r="E1204" s="281">
        <v>349.74</v>
      </c>
      <c r="F1204" s="281">
        <v>9.9600000000000009</v>
      </c>
      <c r="G1204" s="281">
        <v>1940</v>
      </c>
      <c r="H1204" s="282">
        <v>11277.61</v>
      </c>
      <c r="I1204" s="282">
        <v>4564.3100000000004</v>
      </c>
      <c r="J1204" s="282">
        <v>59.63</v>
      </c>
      <c r="K1204" s="282">
        <v>6653.67</v>
      </c>
      <c r="L1204" s="357">
        <v>4.9039483410879683</v>
      </c>
      <c r="M1204" s="357">
        <v>13.05</v>
      </c>
      <c r="N1204" s="357">
        <v>5.986947791164658</v>
      </c>
      <c r="O1204" s="357">
        <v>3.4297268041237112</v>
      </c>
      <c r="P1204" s="283"/>
      <c r="Q1204" s="283"/>
      <c r="R1204" s="283">
        <v>16</v>
      </c>
    </row>
    <row r="1205" spans="1:18" ht="12.75">
      <c r="A1205" s="426" t="s">
        <v>2091</v>
      </c>
      <c r="B1205" s="427"/>
      <c r="C1205" s="427"/>
      <c r="D1205" s="427"/>
      <c r="E1205" s="427"/>
      <c r="F1205" s="427"/>
      <c r="G1205" s="427"/>
      <c r="H1205" s="427"/>
      <c r="I1205" s="427"/>
      <c r="J1205" s="427"/>
      <c r="K1205" s="427"/>
      <c r="L1205" s="427"/>
      <c r="M1205" s="427"/>
      <c r="N1205" s="427"/>
      <c r="O1205" s="427"/>
      <c r="P1205" s="427"/>
      <c r="Q1205" s="427"/>
      <c r="R1205" s="427"/>
    </row>
    <row r="1206" spans="1:18" ht="48">
      <c r="A1206" s="279">
        <v>62.94</v>
      </c>
      <c r="B1206" s="272" t="s">
        <v>2092</v>
      </c>
      <c r="C1206" s="280" t="s">
        <v>2093</v>
      </c>
      <c r="D1206" s="281">
        <v>2320.98</v>
      </c>
      <c r="E1206" s="281">
        <v>351.09</v>
      </c>
      <c r="F1206" s="281">
        <v>9.9600000000000009</v>
      </c>
      <c r="G1206" s="281">
        <v>1959.93</v>
      </c>
      <c r="H1206" s="282">
        <v>11432.38</v>
      </c>
      <c r="I1206" s="282">
        <v>4581.8100000000004</v>
      </c>
      <c r="J1206" s="282">
        <v>59.63</v>
      </c>
      <c r="K1206" s="282">
        <v>6790.94</v>
      </c>
      <c r="L1206" s="357">
        <v>4.9256693293350216</v>
      </c>
      <c r="M1206" s="357">
        <v>13.05</v>
      </c>
      <c r="N1206" s="357">
        <v>5.986947791164658</v>
      </c>
      <c r="O1206" s="357">
        <v>3.464889052160026</v>
      </c>
      <c r="P1206" s="283"/>
      <c r="Q1206" s="283"/>
      <c r="R1206" s="283">
        <v>17</v>
      </c>
    </row>
    <row r="1207" spans="1:18" ht="48">
      <c r="A1207" s="279">
        <v>62.95</v>
      </c>
      <c r="B1207" s="272" t="s">
        <v>2094</v>
      </c>
      <c r="C1207" s="280" t="s">
        <v>2095</v>
      </c>
      <c r="D1207" s="281">
        <v>1931.94</v>
      </c>
      <c r="E1207" s="281">
        <v>269.35000000000002</v>
      </c>
      <c r="F1207" s="281">
        <v>9.9600000000000009</v>
      </c>
      <c r="G1207" s="281">
        <v>1652.63</v>
      </c>
      <c r="H1207" s="282">
        <v>8971.98</v>
      </c>
      <c r="I1207" s="282">
        <v>3515.15</v>
      </c>
      <c r="J1207" s="282">
        <v>59.63</v>
      </c>
      <c r="K1207" s="282">
        <v>5397.2</v>
      </c>
      <c r="L1207" s="357">
        <v>4.6440262119941611</v>
      </c>
      <c r="M1207" s="357">
        <v>13.05</v>
      </c>
      <c r="N1207" s="357">
        <v>5.986947791164658</v>
      </c>
      <c r="O1207" s="357">
        <v>3.2658247762657093</v>
      </c>
      <c r="P1207" s="283"/>
      <c r="Q1207" s="283"/>
      <c r="R1207" s="283">
        <v>17</v>
      </c>
    </row>
    <row r="1208" spans="1:18" ht="48">
      <c r="A1208" s="279">
        <v>62.96</v>
      </c>
      <c r="B1208" s="272" t="s">
        <v>2096</v>
      </c>
      <c r="C1208" s="280" t="s">
        <v>2097</v>
      </c>
      <c r="D1208" s="281">
        <v>2196.0700000000002</v>
      </c>
      <c r="E1208" s="281">
        <v>374.1</v>
      </c>
      <c r="F1208" s="281">
        <v>9.9600000000000009</v>
      </c>
      <c r="G1208" s="281">
        <v>1812.01</v>
      </c>
      <c r="H1208" s="282">
        <v>11082.75</v>
      </c>
      <c r="I1208" s="282">
        <v>4882.1499999999996</v>
      </c>
      <c r="J1208" s="282">
        <v>59.63</v>
      </c>
      <c r="K1208" s="282">
        <v>6140.97</v>
      </c>
      <c r="L1208" s="357">
        <v>5.046628750449667</v>
      </c>
      <c r="M1208" s="357">
        <v>13.05</v>
      </c>
      <c r="N1208" s="357">
        <v>5.986947791164658</v>
      </c>
      <c r="O1208" s="357">
        <v>3.3890375880927812</v>
      </c>
      <c r="P1208" s="283"/>
      <c r="Q1208" s="283"/>
      <c r="R1208" s="283">
        <v>17</v>
      </c>
    </row>
    <row r="1209" spans="1:18" ht="48">
      <c r="A1209" s="279">
        <v>62.97</v>
      </c>
      <c r="B1209" s="272" t="s">
        <v>2098</v>
      </c>
      <c r="C1209" s="280" t="s">
        <v>2099</v>
      </c>
      <c r="D1209" s="281">
        <v>2318.5</v>
      </c>
      <c r="E1209" s="281">
        <v>348.61</v>
      </c>
      <c r="F1209" s="281">
        <v>9.9600000000000009</v>
      </c>
      <c r="G1209" s="281">
        <v>1959.93</v>
      </c>
      <c r="H1209" s="282">
        <v>11400.06</v>
      </c>
      <c r="I1209" s="282">
        <v>4549.49</v>
      </c>
      <c r="J1209" s="282">
        <v>59.63</v>
      </c>
      <c r="K1209" s="282">
        <v>6790.94</v>
      </c>
      <c r="L1209" s="357">
        <v>4.9169980590899289</v>
      </c>
      <c r="M1209" s="357">
        <v>13.05</v>
      </c>
      <c r="N1209" s="357">
        <v>5.986947791164658</v>
      </c>
      <c r="O1209" s="357">
        <v>3.464889052160026</v>
      </c>
      <c r="P1209" s="283"/>
      <c r="Q1209" s="283"/>
      <c r="R1209" s="283">
        <v>17</v>
      </c>
    </row>
    <row r="1210" spans="1:18" ht="48">
      <c r="A1210" s="279">
        <v>62.98</v>
      </c>
      <c r="B1210" s="272" t="s">
        <v>2100</v>
      </c>
      <c r="C1210" s="280" t="s">
        <v>2101</v>
      </c>
      <c r="D1210" s="281">
        <v>2391.0500000000002</v>
      </c>
      <c r="E1210" s="281">
        <v>421.16</v>
      </c>
      <c r="F1210" s="281">
        <v>9.9600000000000009</v>
      </c>
      <c r="G1210" s="281">
        <v>1959.93</v>
      </c>
      <c r="H1210" s="282">
        <v>12346.86</v>
      </c>
      <c r="I1210" s="282">
        <v>5496.29</v>
      </c>
      <c r="J1210" s="282">
        <v>59.63</v>
      </c>
      <c r="K1210" s="282">
        <v>6790.94</v>
      </c>
      <c r="L1210" s="357">
        <v>5.1637816022249634</v>
      </c>
      <c r="M1210" s="357">
        <v>13.05</v>
      </c>
      <c r="N1210" s="357">
        <v>5.986947791164658</v>
      </c>
      <c r="O1210" s="357">
        <v>3.464889052160026</v>
      </c>
      <c r="P1210" s="283"/>
      <c r="Q1210" s="283"/>
      <c r="R1210" s="283">
        <v>17</v>
      </c>
    </row>
    <row r="1211" spans="1:18" ht="12.75">
      <c r="A1211" s="426" t="s">
        <v>2102</v>
      </c>
      <c r="B1211" s="427"/>
      <c r="C1211" s="427"/>
      <c r="D1211" s="427"/>
      <c r="E1211" s="427"/>
      <c r="F1211" s="427"/>
      <c r="G1211" s="427"/>
      <c r="H1211" s="427"/>
      <c r="I1211" s="427"/>
      <c r="J1211" s="427"/>
      <c r="K1211" s="427"/>
      <c r="L1211" s="427"/>
      <c r="M1211" s="427"/>
      <c r="N1211" s="427"/>
      <c r="O1211" s="427"/>
      <c r="P1211" s="427"/>
      <c r="Q1211" s="427"/>
      <c r="R1211" s="427"/>
    </row>
    <row r="1212" spans="1:18" ht="24">
      <c r="A1212" s="279">
        <v>62.99</v>
      </c>
      <c r="B1212" s="272" t="s">
        <v>2103</v>
      </c>
      <c r="C1212" s="280" t="s">
        <v>2104</v>
      </c>
      <c r="D1212" s="281">
        <v>2127.9499999999998</v>
      </c>
      <c r="E1212" s="281">
        <v>1357.46</v>
      </c>
      <c r="F1212" s="281">
        <v>9.9600000000000009</v>
      </c>
      <c r="G1212" s="281">
        <v>760.53</v>
      </c>
      <c r="H1212" s="282">
        <v>21043</v>
      </c>
      <c r="I1212" s="282">
        <v>17714.46</v>
      </c>
      <c r="J1212" s="282">
        <v>59.63</v>
      </c>
      <c r="K1212" s="282">
        <v>3268.91</v>
      </c>
      <c r="L1212" s="357">
        <v>9.8888601705867156</v>
      </c>
      <c r="M1212" s="357">
        <v>13.05</v>
      </c>
      <c r="N1212" s="357">
        <v>5.986947791164658</v>
      </c>
      <c r="O1212" s="357">
        <v>4.2981999395158637</v>
      </c>
      <c r="P1212" s="283"/>
      <c r="Q1212" s="283"/>
      <c r="R1212" s="283">
        <v>18</v>
      </c>
    </row>
    <row r="1213" spans="1:18" ht="24">
      <c r="A1213" s="279">
        <v>62.1</v>
      </c>
      <c r="B1213" s="272" t="s">
        <v>2105</v>
      </c>
      <c r="C1213" s="280" t="s">
        <v>2106</v>
      </c>
      <c r="D1213" s="281">
        <v>870.61</v>
      </c>
      <c r="E1213" s="281">
        <v>401.28</v>
      </c>
      <c r="F1213" s="281">
        <v>9.9600000000000009</v>
      </c>
      <c r="G1213" s="281">
        <v>459.37</v>
      </c>
      <c r="H1213" s="282">
        <v>6884.68</v>
      </c>
      <c r="I1213" s="282">
        <v>5236.6099999999997</v>
      </c>
      <c r="J1213" s="282">
        <v>59.63</v>
      </c>
      <c r="K1213" s="282">
        <v>1588.44</v>
      </c>
      <c r="L1213" s="357">
        <v>7.9078806813613447</v>
      </c>
      <c r="M1213" s="357">
        <v>13.05</v>
      </c>
      <c r="N1213" s="357">
        <v>5.986947791164658</v>
      </c>
      <c r="O1213" s="357">
        <v>3.4578662080675708</v>
      </c>
      <c r="P1213" s="283"/>
      <c r="Q1213" s="283"/>
      <c r="R1213" s="283">
        <v>18</v>
      </c>
    </row>
    <row r="1214" spans="1:18" ht="24">
      <c r="A1214" s="284">
        <v>62.100999999999999</v>
      </c>
      <c r="B1214" s="285" t="s">
        <v>2107</v>
      </c>
      <c r="C1214" s="286" t="s">
        <v>2108</v>
      </c>
      <c r="D1214" s="287">
        <v>972.38</v>
      </c>
      <c r="E1214" s="287">
        <v>425.32</v>
      </c>
      <c r="F1214" s="287">
        <v>9.9600000000000009</v>
      </c>
      <c r="G1214" s="287">
        <v>537.1</v>
      </c>
      <c r="H1214" s="288">
        <v>7687.95</v>
      </c>
      <c r="I1214" s="288">
        <v>5550.26</v>
      </c>
      <c r="J1214" s="288">
        <v>59.63</v>
      </c>
      <c r="K1214" s="288">
        <v>2078.06</v>
      </c>
      <c r="L1214" s="356">
        <v>7.9063226310701573</v>
      </c>
      <c r="M1214" s="356">
        <v>13.05</v>
      </c>
      <c r="N1214" s="356">
        <v>5.986947791164658</v>
      </c>
      <c r="O1214" s="356">
        <v>3.8690374231986593</v>
      </c>
      <c r="P1214" s="289"/>
      <c r="Q1214" s="289"/>
      <c r="R1214" s="289">
        <v>18</v>
      </c>
    </row>
    <row r="1215" spans="1:18" ht="12.75">
      <c r="A1215" s="428" t="s">
        <v>2109</v>
      </c>
      <c r="B1215" s="429"/>
      <c r="C1215" s="429"/>
      <c r="D1215" s="429"/>
      <c r="E1215" s="429"/>
      <c r="F1215" s="429"/>
      <c r="G1215" s="429"/>
      <c r="H1215" s="429"/>
      <c r="I1215" s="429"/>
      <c r="J1215" s="429"/>
      <c r="K1215" s="429"/>
      <c r="L1215" s="429"/>
      <c r="M1215" s="429"/>
      <c r="N1215" s="429"/>
      <c r="O1215" s="429"/>
      <c r="P1215" s="429"/>
      <c r="Q1215" s="429"/>
      <c r="R1215" s="429"/>
    </row>
    <row r="1216" spans="1:18" ht="12.75">
      <c r="A1216" s="426" t="s">
        <v>2110</v>
      </c>
      <c r="B1216" s="427"/>
      <c r="C1216" s="427"/>
      <c r="D1216" s="427"/>
      <c r="E1216" s="427"/>
      <c r="F1216" s="427"/>
      <c r="G1216" s="427"/>
      <c r="H1216" s="427"/>
      <c r="I1216" s="427"/>
      <c r="J1216" s="427"/>
      <c r="K1216" s="427"/>
      <c r="L1216" s="427"/>
      <c r="M1216" s="427"/>
      <c r="N1216" s="427"/>
      <c r="O1216" s="427"/>
      <c r="P1216" s="427"/>
      <c r="Q1216" s="427"/>
      <c r="R1216" s="427"/>
    </row>
    <row r="1217" spans="1:18" ht="36">
      <c r="A1217" s="279">
        <v>62.101999999999997</v>
      </c>
      <c r="B1217" s="272" t="s">
        <v>2111</v>
      </c>
      <c r="C1217" s="280" t="s">
        <v>2112</v>
      </c>
      <c r="D1217" s="281">
        <v>352.05</v>
      </c>
      <c r="E1217" s="281">
        <v>180.17</v>
      </c>
      <c r="F1217" s="281">
        <v>3.34</v>
      </c>
      <c r="G1217" s="281">
        <v>168.54</v>
      </c>
      <c r="H1217" s="282">
        <v>3344.69</v>
      </c>
      <c r="I1217" s="282">
        <v>2351.25</v>
      </c>
      <c r="J1217" s="282">
        <v>16.690000000000001</v>
      </c>
      <c r="K1217" s="282">
        <v>976.75</v>
      </c>
      <c r="L1217" s="357">
        <v>9.5006107087061498</v>
      </c>
      <c r="M1217" s="357">
        <v>13.05</v>
      </c>
      <c r="N1217" s="357">
        <v>4.997005988023953</v>
      </c>
      <c r="O1217" s="357">
        <v>5.7953601518927265</v>
      </c>
      <c r="P1217" s="283"/>
      <c r="Q1217" s="283"/>
      <c r="R1217" s="283">
        <v>1</v>
      </c>
    </row>
    <row r="1218" spans="1:18" ht="36">
      <c r="A1218" s="279">
        <v>62.103000000000002</v>
      </c>
      <c r="B1218" s="272" t="s">
        <v>2113</v>
      </c>
      <c r="C1218" s="280" t="s">
        <v>2114</v>
      </c>
      <c r="D1218" s="281">
        <v>368.35</v>
      </c>
      <c r="E1218" s="281">
        <v>196.66</v>
      </c>
      <c r="F1218" s="281">
        <v>3.15</v>
      </c>
      <c r="G1218" s="281">
        <v>168.54</v>
      </c>
      <c r="H1218" s="282">
        <v>3559.18</v>
      </c>
      <c r="I1218" s="282">
        <v>2566.5100000000002</v>
      </c>
      <c r="J1218" s="282">
        <v>15.92</v>
      </c>
      <c r="K1218" s="282">
        <v>976.75</v>
      </c>
      <c r="L1218" s="357">
        <v>9.6624949097325903</v>
      </c>
      <c r="M1218" s="357">
        <v>13.05</v>
      </c>
      <c r="N1218" s="357">
        <v>5.0539682539682538</v>
      </c>
      <c r="O1218" s="357">
        <v>5.7953601518927265</v>
      </c>
      <c r="P1218" s="283"/>
      <c r="Q1218" s="283"/>
      <c r="R1218" s="283">
        <v>1</v>
      </c>
    </row>
    <row r="1219" spans="1:18" ht="36">
      <c r="A1219" s="279">
        <v>62.103999999999999</v>
      </c>
      <c r="B1219" s="272" t="s">
        <v>2115</v>
      </c>
      <c r="C1219" s="280" t="s">
        <v>2116</v>
      </c>
      <c r="D1219" s="281">
        <v>484.89</v>
      </c>
      <c r="E1219" s="281">
        <v>313.2</v>
      </c>
      <c r="F1219" s="281">
        <v>3.15</v>
      </c>
      <c r="G1219" s="281">
        <v>168.54</v>
      </c>
      <c r="H1219" s="282">
        <v>5079.97</v>
      </c>
      <c r="I1219" s="282">
        <v>4087.3</v>
      </c>
      <c r="J1219" s="282">
        <v>15.92</v>
      </c>
      <c r="K1219" s="282">
        <v>976.75</v>
      </c>
      <c r="L1219" s="357">
        <v>10.476541071170782</v>
      </c>
      <c r="M1219" s="357">
        <v>13.05</v>
      </c>
      <c r="N1219" s="357">
        <v>5.0539682539682538</v>
      </c>
      <c r="O1219" s="357">
        <v>5.7953601518927265</v>
      </c>
      <c r="P1219" s="283"/>
      <c r="Q1219" s="283"/>
      <c r="R1219" s="283">
        <v>1</v>
      </c>
    </row>
    <row r="1220" spans="1:18" ht="36">
      <c r="A1220" s="279">
        <v>62.104999999999997</v>
      </c>
      <c r="B1220" s="272" t="s">
        <v>2117</v>
      </c>
      <c r="C1220" s="280" t="s">
        <v>2118</v>
      </c>
      <c r="D1220" s="281">
        <v>177.22</v>
      </c>
      <c r="E1220" s="281">
        <v>107.85</v>
      </c>
      <c r="F1220" s="281">
        <v>3.34</v>
      </c>
      <c r="G1220" s="281">
        <v>66.03</v>
      </c>
      <c r="H1220" s="282">
        <v>1611.47</v>
      </c>
      <c r="I1220" s="282">
        <v>1407.44</v>
      </c>
      <c r="J1220" s="282">
        <v>16.690000000000001</v>
      </c>
      <c r="K1220" s="282">
        <v>187.34</v>
      </c>
      <c r="L1220" s="357">
        <v>9.0930481886920216</v>
      </c>
      <c r="M1220" s="357">
        <v>13.05</v>
      </c>
      <c r="N1220" s="357">
        <v>4.997005988023953</v>
      </c>
      <c r="O1220" s="357">
        <v>2.837195214296532</v>
      </c>
      <c r="P1220" s="283"/>
      <c r="Q1220" s="283"/>
      <c r="R1220" s="283">
        <v>1</v>
      </c>
    </row>
    <row r="1221" spans="1:18" ht="36">
      <c r="A1221" s="279">
        <v>62.106000000000002</v>
      </c>
      <c r="B1221" s="272" t="s">
        <v>2119</v>
      </c>
      <c r="C1221" s="280" t="s">
        <v>2120</v>
      </c>
      <c r="D1221" s="281">
        <v>221.05</v>
      </c>
      <c r="E1221" s="281">
        <v>151.87</v>
      </c>
      <c r="F1221" s="281">
        <v>3.15</v>
      </c>
      <c r="G1221" s="281">
        <v>66.03</v>
      </c>
      <c r="H1221" s="282">
        <v>2185.14</v>
      </c>
      <c r="I1221" s="282">
        <v>1981.88</v>
      </c>
      <c r="J1221" s="282">
        <v>15.92</v>
      </c>
      <c r="K1221" s="282">
        <v>187.34</v>
      </c>
      <c r="L1221" s="357">
        <v>9.8852748247002928</v>
      </c>
      <c r="M1221" s="357">
        <v>13.05</v>
      </c>
      <c r="N1221" s="357">
        <v>5.0539682539682538</v>
      </c>
      <c r="O1221" s="357">
        <v>2.837195214296532</v>
      </c>
      <c r="P1221" s="283"/>
      <c r="Q1221" s="283"/>
      <c r="R1221" s="283">
        <v>1</v>
      </c>
    </row>
    <row r="1222" spans="1:18" ht="36">
      <c r="A1222" s="279">
        <v>62.106999999999999</v>
      </c>
      <c r="B1222" s="272" t="s">
        <v>2121</v>
      </c>
      <c r="C1222" s="280" t="s">
        <v>2122</v>
      </c>
      <c r="D1222" s="281">
        <v>359.93</v>
      </c>
      <c r="E1222" s="281">
        <v>290.75</v>
      </c>
      <c r="F1222" s="281">
        <v>3.15</v>
      </c>
      <c r="G1222" s="281">
        <v>66.03</v>
      </c>
      <c r="H1222" s="282">
        <v>3997.61</v>
      </c>
      <c r="I1222" s="282">
        <v>3794.35</v>
      </c>
      <c r="J1222" s="282">
        <v>15.92</v>
      </c>
      <c r="K1222" s="282">
        <v>187.34</v>
      </c>
      <c r="L1222" s="357">
        <v>11.106631845080988</v>
      </c>
      <c r="M1222" s="357">
        <v>13.05</v>
      </c>
      <c r="N1222" s="357">
        <v>5.0539682539682538</v>
      </c>
      <c r="O1222" s="357">
        <v>2.837195214296532</v>
      </c>
      <c r="P1222" s="283"/>
      <c r="Q1222" s="283"/>
      <c r="R1222" s="283">
        <v>1</v>
      </c>
    </row>
    <row r="1223" spans="1:18" ht="36">
      <c r="A1223" s="279">
        <v>62.107999999999997</v>
      </c>
      <c r="B1223" s="272" t="s">
        <v>2123</v>
      </c>
      <c r="C1223" s="280" t="s">
        <v>2124</v>
      </c>
      <c r="D1223" s="281">
        <v>152.72999999999999</v>
      </c>
      <c r="E1223" s="281">
        <v>105.31</v>
      </c>
      <c r="F1223" s="281">
        <v>3.34</v>
      </c>
      <c r="G1223" s="281">
        <v>44.08</v>
      </c>
      <c r="H1223" s="282">
        <v>1517.08</v>
      </c>
      <c r="I1223" s="282">
        <v>1374.32</v>
      </c>
      <c r="J1223" s="282">
        <v>16.690000000000001</v>
      </c>
      <c r="K1223" s="282">
        <v>126.07</v>
      </c>
      <c r="L1223" s="357">
        <v>9.933084528252472</v>
      </c>
      <c r="M1223" s="357">
        <v>13.05</v>
      </c>
      <c r="N1223" s="357">
        <v>4.997005988023953</v>
      </c>
      <c r="O1223" s="357">
        <v>2.8600272232304902</v>
      </c>
      <c r="P1223" s="283"/>
      <c r="Q1223" s="283"/>
      <c r="R1223" s="283">
        <v>1</v>
      </c>
    </row>
    <row r="1224" spans="1:18" ht="36">
      <c r="A1224" s="279">
        <v>62.109000000000002</v>
      </c>
      <c r="B1224" s="272" t="s">
        <v>2125</v>
      </c>
      <c r="C1224" s="280" t="s">
        <v>2126</v>
      </c>
      <c r="D1224" s="281">
        <v>173.52</v>
      </c>
      <c r="E1224" s="281">
        <v>126.29</v>
      </c>
      <c r="F1224" s="281">
        <v>3.15</v>
      </c>
      <c r="G1224" s="281">
        <v>44.08</v>
      </c>
      <c r="H1224" s="282">
        <v>1790.16</v>
      </c>
      <c r="I1224" s="282">
        <v>1648.17</v>
      </c>
      <c r="J1224" s="282">
        <v>15.92</v>
      </c>
      <c r="K1224" s="282">
        <v>126.07</v>
      </c>
      <c r="L1224" s="357">
        <v>10.31673582295989</v>
      </c>
      <c r="M1224" s="357">
        <v>13.05</v>
      </c>
      <c r="N1224" s="357">
        <v>5.0539682539682538</v>
      </c>
      <c r="O1224" s="357">
        <v>2.8600272232304902</v>
      </c>
      <c r="P1224" s="283"/>
      <c r="Q1224" s="283"/>
      <c r="R1224" s="283">
        <v>1</v>
      </c>
    </row>
    <row r="1225" spans="1:18" ht="24">
      <c r="A1225" s="279">
        <v>62.11</v>
      </c>
      <c r="B1225" s="272" t="s">
        <v>2127</v>
      </c>
      <c r="C1225" s="280" t="s">
        <v>2128</v>
      </c>
      <c r="D1225" s="281">
        <v>24.11</v>
      </c>
      <c r="E1225" s="281">
        <v>24.11</v>
      </c>
      <c r="F1225" s="281"/>
      <c r="G1225" s="281"/>
      <c r="H1225" s="282">
        <v>314.60000000000002</v>
      </c>
      <c r="I1225" s="282">
        <v>314.60000000000002</v>
      </c>
      <c r="J1225" s="282"/>
      <c r="K1225" s="282"/>
      <c r="L1225" s="357">
        <v>13.048527581916218</v>
      </c>
      <c r="M1225" s="357">
        <v>13.05</v>
      </c>
      <c r="N1225" s="357" t="s">
        <v>135</v>
      </c>
      <c r="O1225" s="357" t="s">
        <v>135</v>
      </c>
      <c r="P1225" s="283"/>
      <c r="Q1225" s="283"/>
      <c r="R1225" s="283">
        <v>1</v>
      </c>
    </row>
    <row r="1226" spans="1:18" ht="24">
      <c r="A1226" s="279">
        <v>62.110999999999997</v>
      </c>
      <c r="B1226" s="272" t="s">
        <v>2129</v>
      </c>
      <c r="C1226" s="280" t="s">
        <v>2130</v>
      </c>
      <c r="D1226" s="281">
        <v>30.45</v>
      </c>
      <c r="E1226" s="281">
        <v>30.45</v>
      </c>
      <c r="F1226" s="281"/>
      <c r="G1226" s="281"/>
      <c r="H1226" s="282">
        <v>397.39</v>
      </c>
      <c r="I1226" s="282">
        <v>397.39</v>
      </c>
      <c r="J1226" s="282"/>
      <c r="K1226" s="282"/>
      <c r="L1226" s="357">
        <v>13.050574712643678</v>
      </c>
      <c r="M1226" s="357">
        <v>13.05</v>
      </c>
      <c r="N1226" s="357" t="s">
        <v>135</v>
      </c>
      <c r="O1226" s="357" t="s">
        <v>135</v>
      </c>
      <c r="P1226" s="283"/>
      <c r="Q1226" s="283"/>
      <c r="R1226" s="283">
        <v>1</v>
      </c>
    </row>
    <row r="1227" spans="1:18" ht="24">
      <c r="A1227" s="279">
        <v>62.112000000000002</v>
      </c>
      <c r="B1227" s="272" t="s">
        <v>2131</v>
      </c>
      <c r="C1227" s="280" t="s">
        <v>2132</v>
      </c>
      <c r="D1227" s="281">
        <v>16.399999999999999</v>
      </c>
      <c r="E1227" s="281">
        <v>16.399999999999999</v>
      </c>
      <c r="F1227" s="281"/>
      <c r="G1227" s="281"/>
      <c r="H1227" s="282">
        <v>213.98</v>
      </c>
      <c r="I1227" s="282">
        <v>213.98</v>
      </c>
      <c r="J1227" s="282"/>
      <c r="K1227" s="282"/>
      <c r="L1227" s="357">
        <v>13.047560975609757</v>
      </c>
      <c r="M1227" s="357">
        <v>13.05</v>
      </c>
      <c r="N1227" s="357" t="s">
        <v>135</v>
      </c>
      <c r="O1227" s="357" t="s">
        <v>135</v>
      </c>
      <c r="P1227" s="283"/>
      <c r="Q1227" s="283"/>
      <c r="R1227" s="283">
        <v>1</v>
      </c>
    </row>
    <row r="1228" spans="1:18" ht="24">
      <c r="A1228" s="279">
        <v>62.113</v>
      </c>
      <c r="B1228" s="272" t="s">
        <v>2133</v>
      </c>
      <c r="C1228" s="280" t="s">
        <v>2134</v>
      </c>
      <c r="D1228" s="281">
        <v>14.54</v>
      </c>
      <c r="E1228" s="281">
        <v>14.54</v>
      </c>
      <c r="F1228" s="281"/>
      <c r="G1228" s="281"/>
      <c r="H1228" s="282">
        <v>189.78</v>
      </c>
      <c r="I1228" s="282">
        <v>189.78</v>
      </c>
      <c r="J1228" s="282"/>
      <c r="K1228" s="282"/>
      <c r="L1228" s="357">
        <v>13.052269601100413</v>
      </c>
      <c r="M1228" s="357">
        <v>13.05</v>
      </c>
      <c r="N1228" s="357" t="s">
        <v>135</v>
      </c>
      <c r="O1228" s="357" t="s">
        <v>135</v>
      </c>
      <c r="P1228" s="283"/>
      <c r="Q1228" s="283"/>
      <c r="R1228" s="283">
        <v>1</v>
      </c>
    </row>
    <row r="1229" spans="1:18" ht="24">
      <c r="A1229" s="279">
        <v>62.113999999999997</v>
      </c>
      <c r="B1229" s="272" t="s">
        <v>2135</v>
      </c>
      <c r="C1229" s="280" t="s">
        <v>2136</v>
      </c>
      <c r="D1229" s="281">
        <v>17.760000000000002</v>
      </c>
      <c r="E1229" s="281">
        <v>17.760000000000002</v>
      </c>
      <c r="F1229" s="281"/>
      <c r="G1229" s="281"/>
      <c r="H1229" s="282">
        <v>231.81</v>
      </c>
      <c r="I1229" s="282">
        <v>231.81</v>
      </c>
      <c r="J1229" s="282"/>
      <c r="K1229" s="282"/>
      <c r="L1229" s="357">
        <v>13.052364864864863</v>
      </c>
      <c r="M1229" s="357">
        <v>13.05</v>
      </c>
      <c r="N1229" s="357" t="s">
        <v>135</v>
      </c>
      <c r="O1229" s="357" t="s">
        <v>135</v>
      </c>
      <c r="P1229" s="283"/>
      <c r="Q1229" s="283"/>
      <c r="R1229" s="283">
        <v>1</v>
      </c>
    </row>
    <row r="1230" spans="1:18" ht="24">
      <c r="A1230" s="279">
        <v>62.115000000000002</v>
      </c>
      <c r="B1230" s="272" t="s">
        <v>2137</v>
      </c>
      <c r="C1230" s="280" t="s">
        <v>2138</v>
      </c>
      <c r="D1230" s="281">
        <v>17.760000000000002</v>
      </c>
      <c r="E1230" s="281">
        <v>17.760000000000002</v>
      </c>
      <c r="F1230" s="281"/>
      <c r="G1230" s="281"/>
      <c r="H1230" s="282">
        <v>231.81</v>
      </c>
      <c r="I1230" s="282">
        <v>231.81</v>
      </c>
      <c r="J1230" s="282"/>
      <c r="K1230" s="282"/>
      <c r="L1230" s="357">
        <v>13.052364864864863</v>
      </c>
      <c r="M1230" s="357">
        <v>13.05</v>
      </c>
      <c r="N1230" s="357" t="s">
        <v>135</v>
      </c>
      <c r="O1230" s="357" t="s">
        <v>135</v>
      </c>
      <c r="P1230" s="283"/>
      <c r="Q1230" s="283"/>
      <c r="R1230" s="283">
        <v>1</v>
      </c>
    </row>
    <row r="1231" spans="1:18" ht="12.75">
      <c r="A1231" s="426" t="s">
        <v>2139</v>
      </c>
      <c r="B1231" s="427"/>
      <c r="C1231" s="427"/>
      <c r="D1231" s="427"/>
      <c r="E1231" s="427"/>
      <c r="F1231" s="427"/>
      <c r="G1231" s="427"/>
      <c r="H1231" s="427"/>
      <c r="I1231" s="427"/>
      <c r="J1231" s="427"/>
      <c r="K1231" s="427"/>
      <c r="L1231" s="427"/>
      <c r="M1231" s="427"/>
      <c r="N1231" s="427"/>
      <c r="O1231" s="427"/>
      <c r="P1231" s="427"/>
      <c r="Q1231" s="427"/>
      <c r="R1231" s="427"/>
    </row>
    <row r="1232" spans="1:18" ht="24">
      <c r="A1232" s="279">
        <v>62.116</v>
      </c>
      <c r="B1232" s="272" t="s">
        <v>2140</v>
      </c>
      <c r="C1232" s="280" t="s">
        <v>2141</v>
      </c>
      <c r="D1232" s="281">
        <v>801.06</v>
      </c>
      <c r="E1232" s="281">
        <v>203.39</v>
      </c>
      <c r="F1232" s="281">
        <v>2.29</v>
      </c>
      <c r="G1232" s="281">
        <v>595.38</v>
      </c>
      <c r="H1232" s="282">
        <v>4877.93</v>
      </c>
      <c r="I1232" s="282">
        <v>2654.23</v>
      </c>
      <c r="J1232" s="282">
        <v>11.38</v>
      </c>
      <c r="K1232" s="282">
        <v>2212.3200000000002</v>
      </c>
      <c r="L1232" s="357">
        <v>6.0893441190422699</v>
      </c>
      <c r="M1232" s="357">
        <v>13.05</v>
      </c>
      <c r="N1232" s="357">
        <v>4.9694323144104811</v>
      </c>
      <c r="O1232" s="357">
        <v>3.7158117504786863</v>
      </c>
      <c r="P1232" s="283"/>
      <c r="Q1232" s="283"/>
      <c r="R1232" s="283">
        <v>2</v>
      </c>
    </row>
    <row r="1233" spans="1:18" ht="24">
      <c r="A1233" s="279">
        <v>62.116999999999997</v>
      </c>
      <c r="B1233" s="272" t="s">
        <v>2142</v>
      </c>
      <c r="C1233" s="280" t="s">
        <v>2143</v>
      </c>
      <c r="D1233" s="281">
        <v>848.2</v>
      </c>
      <c r="E1233" s="281">
        <v>250.72</v>
      </c>
      <c r="F1233" s="281">
        <v>2.1</v>
      </c>
      <c r="G1233" s="281">
        <v>595.38</v>
      </c>
      <c r="H1233" s="282">
        <v>5494.82</v>
      </c>
      <c r="I1233" s="282">
        <v>3271.89</v>
      </c>
      <c r="J1233" s="282">
        <v>10.61</v>
      </c>
      <c r="K1233" s="282">
        <v>2212.3200000000002</v>
      </c>
      <c r="L1233" s="357">
        <v>6.4782126856873372</v>
      </c>
      <c r="M1233" s="357">
        <v>13.05</v>
      </c>
      <c r="N1233" s="357">
        <v>5.0523809523809522</v>
      </c>
      <c r="O1233" s="357">
        <v>3.7158117504786863</v>
      </c>
      <c r="P1233" s="283"/>
      <c r="Q1233" s="283"/>
      <c r="R1233" s="283">
        <v>2</v>
      </c>
    </row>
    <row r="1234" spans="1:18" ht="24">
      <c r="A1234" s="279">
        <v>62.118000000000002</v>
      </c>
      <c r="B1234" s="272" t="s">
        <v>2144</v>
      </c>
      <c r="C1234" s="280" t="s">
        <v>2145</v>
      </c>
      <c r="D1234" s="281">
        <v>960.77</v>
      </c>
      <c r="E1234" s="281">
        <v>363.29</v>
      </c>
      <c r="F1234" s="281">
        <v>2.1</v>
      </c>
      <c r="G1234" s="281">
        <v>595.38</v>
      </c>
      <c r="H1234" s="282">
        <v>6963.83</v>
      </c>
      <c r="I1234" s="282">
        <v>4740.8999999999996</v>
      </c>
      <c r="J1234" s="282">
        <v>10.61</v>
      </c>
      <c r="K1234" s="282">
        <v>2212.3200000000002</v>
      </c>
      <c r="L1234" s="357">
        <v>7.2481759422130168</v>
      </c>
      <c r="M1234" s="357">
        <v>13.05</v>
      </c>
      <c r="N1234" s="357">
        <v>5.0523809523809522</v>
      </c>
      <c r="O1234" s="357">
        <v>3.7158117504786863</v>
      </c>
      <c r="P1234" s="283"/>
      <c r="Q1234" s="283"/>
      <c r="R1234" s="283">
        <v>2</v>
      </c>
    </row>
    <row r="1235" spans="1:18" ht="24">
      <c r="A1235" s="279">
        <v>62.119</v>
      </c>
      <c r="B1235" s="272" t="s">
        <v>2146</v>
      </c>
      <c r="C1235" s="280" t="s">
        <v>2147</v>
      </c>
      <c r="D1235" s="281">
        <v>24.3</v>
      </c>
      <c r="E1235" s="281">
        <v>24.3</v>
      </c>
      <c r="F1235" s="281"/>
      <c r="G1235" s="281"/>
      <c r="H1235" s="282">
        <v>317.17</v>
      </c>
      <c r="I1235" s="282">
        <v>317.17</v>
      </c>
      <c r="J1235" s="282"/>
      <c r="K1235" s="282"/>
      <c r="L1235" s="357">
        <v>13.052263374485596</v>
      </c>
      <c r="M1235" s="357">
        <v>13.05</v>
      </c>
      <c r="N1235" s="357" t="s">
        <v>135</v>
      </c>
      <c r="O1235" s="357" t="s">
        <v>135</v>
      </c>
      <c r="P1235" s="283"/>
      <c r="Q1235" s="283"/>
      <c r="R1235" s="283">
        <v>2</v>
      </c>
    </row>
    <row r="1236" spans="1:18" ht="24">
      <c r="A1236" s="279">
        <v>62.12</v>
      </c>
      <c r="B1236" s="272" t="s">
        <v>2148</v>
      </c>
      <c r="C1236" s="280" t="s">
        <v>2149</v>
      </c>
      <c r="D1236" s="281">
        <v>30.7</v>
      </c>
      <c r="E1236" s="281">
        <v>30.7</v>
      </c>
      <c r="F1236" s="281"/>
      <c r="G1236" s="281"/>
      <c r="H1236" s="282">
        <v>400.64</v>
      </c>
      <c r="I1236" s="282">
        <v>400.64</v>
      </c>
      <c r="J1236" s="282"/>
      <c r="K1236" s="282"/>
      <c r="L1236" s="357">
        <v>13.050162866449512</v>
      </c>
      <c r="M1236" s="357">
        <v>13.05</v>
      </c>
      <c r="N1236" s="357" t="s">
        <v>135</v>
      </c>
      <c r="O1236" s="357" t="s">
        <v>135</v>
      </c>
      <c r="P1236" s="283"/>
      <c r="Q1236" s="283"/>
      <c r="R1236" s="283">
        <v>2</v>
      </c>
    </row>
    <row r="1237" spans="1:18" ht="24">
      <c r="A1237" s="279">
        <v>62.121000000000002</v>
      </c>
      <c r="B1237" s="272" t="s">
        <v>2150</v>
      </c>
      <c r="C1237" s="280" t="s">
        <v>2151</v>
      </c>
      <c r="D1237" s="281">
        <v>48.61</v>
      </c>
      <c r="E1237" s="281">
        <v>48.61</v>
      </c>
      <c r="F1237" s="281"/>
      <c r="G1237" s="281"/>
      <c r="H1237" s="282">
        <v>634.35</v>
      </c>
      <c r="I1237" s="282">
        <v>634.35</v>
      </c>
      <c r="J1237" s="282"/>
      <c r="K1237" s="282"/>
      <c r="L1237" s="357">
        <v>13.049783995062745</v>
      </c>
      <c r="M1237" s="357">
        <v>13.05</v>
      </c>
      <c r="N1237" s="357" t="s">
        <v>135</v>
      </c>
      <c r="O1237" s="357" t="s">
        <v>135</v>
      </c>
      <c r="P1237" s="283"/>
      <c r="Q1237" s="283"/>
      <c r="R1237" s="283">
        <v>2</v>
      </c>
    </row>
    <row r="1238" spans="1:18" ht="12.75">
      <c r="A1238" s="426" t="s">
        <v>2152</v>
      </c>
      <c r="B1238" s="427"/>
      <c r="C1238" s="427"/>
      <c r="D1238" s="427"/>
      <c r="E1238" s="427"/>
      <c r="F1238" s="427"/>
      <c r="G1238" s="427"/>
      <c r="H1238" s="427"/>
      <c r="I1238" s="427"/>
      <c r="J1238" s="427"/>
      <c r="K1238" s="427"/>
      <c r="L1238" s="427"/>
      <c r="M1238" s="427"/>
      <c r="N1238" s="427"/>
      <c r="O1238" s="427"/>
      <c r="P1238" s="427"/>
      <c r="Q1238" s="427"/>
      <c r="R1238" s="427"/>
    </row>
    <row r="1239" spans="1:18" ht="36">
      <c r="A1239" s="279">
        <v>62.122</v>
      </c>
      <c r="B1239" s="272" t="s">
        <v>2153</v>
      </c>
      <c r="C1239" s="280" t="s">
        <v>2154</v>
      </c>
      <c r="D1239" s="281">
        <v>457.24</v>
      </c>
      <c r="E1239" s="281">
        <v>157.96</v>
      </c>
      <c r="F1239" s="281">
        <v>10.69</v>
      </c>
      <c r="G1239" s="281">
        <v>288.58999999999997</v>
      </c>
      <c r="H1239" s="282">
        <v>3071.56</v>
      </c>
      <c r="I1239" s="282">
        <v>2061.39</v>
      </c>
      <c r="J1239" s="282">
        <v>53.84</v>
      </c>
      <c r="K1239" s="282">
        <v>956.33</v>
      </c>
      <c r="L1239" s="357">
        <v>6.7176100078733265</v>
      </c>
      <c r="M1239" s="357">
        <v>13.05</v>
      </c>
      <c r="N1239" s="357">
        <v>5.0364826941066418</v>
      </c>
      <c r="O1239" s="357">
        <v>3.3138015870265778</v>
      </c>
      <c r="P1239" s="283"/>
      <c r="Q1239" s="283"/>
      <c r="R1239" s="283">
        <v>3</v>
      </c>
    </row>
    <row r="1240" spans="1:18" ht="36">
      <c r="A1240" s="279">
        <v>62.122999999999998</v>
      </c>
      <c r="B1240" s="272" t="s">
        <v>2155</v>
      </c>
      <c r="C1240" s="280" t="s">
        <v>2156</v>
      </c>
      <c r="D1240" s="281">
        <v>495.66</v>
      </c>
      <c r="E1240" s="281">
        <v>196.58</v>
      </c>
      <c r="F1240" s="281">
        <v>10.49</v>
      </c>
      <c r="G1240" s="281">
        <v>288.58999999999997</v>
      </c>
      <c r="H1240" s="282">
        <v>3574.74</v>
      </c>
      <c r="I1240" s="282">
        <v>2565.34</v>
      </c>
      <c r="J1240" s="282">
        <v>53.07</v>
      </c>
      <c r="K1240" s="282">
        <v>956.33</v>
      </c>
      <c r="L1240" s="357">
        <v>7.2120808618811276</v>
      </c>
      <c r="M1240" s="357">
        <v>13.05</v>
      </c>
      <c r="N1240" s="357">
        <v>5.0591039084842704</v>
      </c>
      <c r="O1240" s="357">
        <v>3.3138015870265778</v>
      </c>
      <c r="P1240" s="283"/>
      <c r="Q1240" s="283"/>
      <c r="R1240" s="283">
        <v>3</v>
      </c>
    </row>
    <row r="1241" spans="1:18" ht="36">
      <c r="A1241" s="279">
        <v>62.124000000000002</v>
      </c>
      <c r="B1241" s="272" t="s">
        <v>2157</v>
      </c>
      <c r="C1241" s="280" t="s">
        <v>2158</v>
      </c>
      <c r="D1241" s="281">
        <v>590.98</v>
      </c>
      <c r="E1241" s="281">
        <v>291.89999999999998</v>
      </c>
      <c r="F1241" s="281">
        <v>10.49</v>
      </c>
      <c r="G1241" s="281">
        <v>288.58999999999997</v>
      </c>
      <c r="H1241" s="282">
        <v>4818.75</v>
      </c>
      <c r="I1241" s="282">
        <v>3809.35</v>
      </c>
      <c r="J1241" s="282">
        <v>53.07</v>
      </c>
      <c r="K1241" s="282">
        <v>956.33</v>
      </c>
      <c r="L1241" s="357">
        <v>8.1538292327997564</v>
      </c>
      <c r="M1241" s="357">
        <v>13.05</v>
      </c>
      <c r="N1241" s="357">
        <v>5.0591039084842704</v>
      </c>
      <c r="O1241" s="357">
        <v>3.3138015870265778</v>
      </c>
      <c r="P1241" s="283"/>
      <c r="Q1241" s="283"/>
      <c r="R1241" s="283">
        <v>3</v>
      </c>
    </row>
    <row r="1242" spans="1:18" ht="36">
      <c r="A1242" s="279">
        <v>62.125</v>
      </c>
      <c r="B1242" s="272" t="s">
        <v>2159</v>
      </c>
      <c r="C1242" s="280" t="s">
        <v>2160</v>
      </c>
      <c r="D1242" s="281">
        <v>724.79</v>
      </c>
      <c r="E1242" s="281">
        <v>224.3</v>
      </c>
      <c r="F1242" s="281">
        <v>10.69</v>
      </c>
      <c r="G1242" s="281">
        <v>489.8</v>
      </c>
      <c r="H1242" s="282">
        <v>5207.8900000000003</v>
      </c>
      <c r="I1242" s="282">
        <v>2927.08</v>
      </c>
      <c r="J1242" s="282">
        <v>53.84</v>
      </c>
      <c r="K1242" s="282">
        <v>2226.9699999999998</v>
      </c>
      <c r="L1242" s="357">
        <v>7.1853778335793823</v>
      </c>
      <c r="M1242" s="357">
        <v>13.05</v>
      </c>
      <c r="N1242" s="357">
        <v>5.0364826941066418</v>
      </c>
      <c r="O1242" s="357">
        <v>4.5466925275622696</v>
      </c>
      <c r="P1242" s="283"/>
      <c r="Q1242" s="283"/>
      <c r="R1242" s="283">
        <v>3</v>
      </c>
    </row>
    <row r="1243" spans="1:18" ht="36">
      <c r="A1243" s="279">
        <v>62.125999999999998</v>
      </c>
      <c r="B1243" s="272" t="s">
        <v>2161</v>
      </c>
      <c r="C1243" s="280" t="s">
        <v>2162</v>
      </c>
      <c r="D1243" s="281">
        <v>777.7</v>
      </c>
      <c r="E1243" s="281">
        <v>277.41000000000003</v>
      </c>
      <c r="F1243" s="281">
        <v>10.49</v>
      </c>
      <c r="G1243" s="281">
        <v>489.8</v>
      </c>
      <c r="H1243" s="282">
        <v>5900.24</v>
      </c>
      <c r="I1243" s="282">
        <v>3620.2</v>
      </c>
      <c r="J1243" s="282">
        <v>53.07</v>
      </c>
      <c r="K1243" s="282">
        <v>2226.9699999999998</v>
      </c>
      <c r="L1243" s="357">
        <v>7.5867815352963861</v>
      </c>
      <c r="M1243" s="357">
        <v>13.05</v>
      </c>
      <c r="N1243" s="357">
        <v>5.0591039084842704</v>
      </c>
      <c r="O1243" s="357">
        <v>4.5466925275622696</v>
      </c>
      <c r="P1243" s="283"/>
      <c r="Q1243" s="283"/>
      <c r="R1243" s="283">
        <v>3</v>
      </c>
    </row>
    <row r="1244" spans="1:18" ht="36">
      <c r="A1244" s="279">
        <v>62.127000000000002</v>
      </c>
      <c r="B1244" s="272" t="s">
        <v>2163</v>
      </c>
      <c r="C1244" s="280" t="s">
        <v>2164</v>
      </c>
      <c r="D1244" s="281">
        <v>871.75</v>
      </c>
      <c r="E1244" s="281">
        <v>371.46</v>
      </c>
      <c r="F1244" s="281">
        <v>10.49</v>
      </c>
      <c r="G1244" s="281">
        <v>489.8</v>
      </c>
      <c r="H1244" s="282">
        <v>7127.68</v>
      </c>
      <c r="I1244" s="282">
        <v>4847.6400000000003</v>
      </c>
      <c r="J1244" s="282">
        <v>53.07</v>
      </c>
      <c r="K1244" s="282">
        <v>2226.9699999999998</v>
      </c>
      <c r="L1244" s="357">
        <v>8.1762890737023231</v>
      </c>
      <c r="M1244" s="357">
        <v>13.05</v>
      </c>
      <c r="N1244" s="357">
        <v>5.0591039084842704</v>
      </c>
      <c r="O1244" s="357">
        <v>4.5466925275622696</v>
      </c>
      <c r="P1244" s="283"/>
      <c r="Q1244" s="283"/>
      <c r="R1244" s="283">
        <v>3</v>
      </c>
    </row>
    <row r="1245" spans="1:18" ht="36">
      <c r="A1245" s="279">
        <v>62.128</v>
      </c>
      <c r="B1245" s="272" t="s">
        <v>2165</v>
      </c>
      <c r="C1245" s="280" t="s">
        <v>2166</v>
      </c>
      <c r="D1245" s="281">
        <v>960.26</v>
      </c>
      <c r="E1245" s="281">
        <v>353.37</v>
      </c>
      <c r="F1245" s="281">
        <v>10.69</v>
      </c>
      <c r="G1245" s="281">
        <v>596.20000000000005</v>
      </c>
      <c r="H1245" s="282">
        <v>7345.35</v>
      </c>
      <c r="I1245" s="282">
        <v>4611.54</v>
      </c>
      <c r="J1245" s="282">
        <v>53.84</v>
      </c>
      <c r="K1245" s="282">
        <v>2679.97</v>
      </c>
      <c r="L1245" s="357">
        <v>7.6493345552246268</v>
      </c>
      <c r="M1245" s="357">
        <v>13.05</v>
      </c>
      <c r="N1245" s="357">
        <v>5.0364826941066418</v>
      </c>
      <c r="O1245" s="357">
        <v>4.4950855417645075</v>
      </c>
      <c r="P1245" s="283"/>
      <c r="Q1245" s="283"/>
      <c r="R1245" s="283">
        <v>3</v>
      </c>
    </row>
    <row r="1246" spans="1:18" ht="36">
      <c r="A1246" s="279">
        <v>62.128999999999998</v>
      </c>
      <c r="B1246" s="272" t="s">
        <v>2167</v>
      </c>
      <c r="C1246" s="280" t="s">
        <v>2168</v>
      </c>
      <c r="D1246" s="281">
        <v>1067.3399999999999</v>
      </c>
      <c r="E1246" s="281">
        <v>460.65</v>
      </c>
      <c r="F1246" s="281">
        <v>10.49</v>
      </c>
      <c r="G1246" s="281">
        <v>596.20000000000005</v>
      </c>
      <c r="H1246" s="282">
        <v>8744.61</v>
      </c>
      <c r="I1246" s="282">
        <v>6011.57</v>
      </c>
      <c r="J1246" s="282">
        <v>53.07</v>
      </c>
      <c r="K1246" s="282">
        <v>2679.97</v>
      </c>
      <c r="L1246" s="357">
        <v>8.1929001068075795</v>
      </c>
      <c r="M1246" s="357">
        <v>13.05</v>
      </c>
      <c r="N1246" s="357">
        <v>5.0591039084842704</v>
      </c>
      <c r="O1246" s="357">
        <v>4.4950855417645075</v>
      </c>
      <c r="P1246" s="283"/>
      <c r="Q1246" s="283"/>
      <c r="R1246" s="283">
        <v>3</v>
      </c>
    </row>
    <row r="1247" spans="1:18" ht="36">
      <c r="A1247" s="279">
        <v>62.13</v>
      </c>
      <c r="B1247" s="272" t="s">
        <v>2169</v>
      </c>
      <c r="C1247" s="280" t="s">
        <v>2170</v>
      </c>
      <c r="D1247" s="281">
        <v>1126.49</v>
      </c>
      <c r="E1247" s="281">
        <v>519.79999999999995</v>
      </c>
      <c r="F1247" s="281">
        <v>10.49</v>
      </c>
      <c r="G1247" s="281">
        <v>596.20000000000005</v>
      </c>
      <c r="H1247" s="282">
        <v>9516.42</v>
      </c>
      <c r="I1247" s="282">
        <v>6783.38</v>
      </c>
      <c r="J1247" s="282">
        <v>53.07</v>
      </c>
      <c r="K1247" s="282">
        <v>2679.97</v>
      </c>
      <c r="L1247" s="357">
        <v>8.4478512902910818</v>
      </c>
      <c r="M1247" s="357">
        <v>13.05</v>
      </c>
      <c r="N1247" s="357">
        <v>5.0591039084842704</v>
      </c>
      <c r="O1247" s="357">
        <v>4.4950855417645075</v>
      </c>
      <c r="P1247" s="283"/>
      <c r="Q1247" s="283"/>
      <c r="R1247" s="283">
        <v>3</v>
      </c>
    </row>
    <row r="1248" spans="1:18" ht="36">
      <c r="A1248" s="279">
        <v>62.131</v>
      </c>
      <c r="B1248" s="272" t="s">
        <v>2171</v>
      </c>
      <c r="C1248" s="280" t="s">
        <v>2172</v>
      </c>
      <c r="D1248" s="281">
        <v>1394.71</v>
      </c>
      <c r="E1248" s="281">
        <v>651.29999999999995</v>
      </c>
      <c r="F1248" s="281">
        <v>10.69</v>
      </c>
      <c r="G1248" s="281">
        <v>732.72</v>
      </c>
      <c r="H1248" s="282">
        <v>11792.36</v>
      </c>
      <c r="I1248" s="282">
        <v>8499.59</v>
      </c>
      <c r="J1248" s="282">
        <v>53.84</v>
      </c>
      <c r="K1248" s="282">
        <v>3238.93</v>
      </c>
      <c r="L1248" s="357">
        <v>8.4550623427092368</v>
      </c>
      <c r="M1248" s="357">
        <v>13.05</v>
      </c>
      <c r="N1248" s="357">
        <v>5.0364826941066418</v>
      </c>
      <c r="O1248" s="357">
        <v>4.420419805655639</v>
      </c>
      <c r="P1248" s="283"/>
      <c r="Q1248" s="283"/>
      <c r="R1248" s="283">
        <v>3</v>
      </c>
    </row>
    <row r="1249" spans="1:18" ht="36">
      <c r="A1249" s="279">
        <v>62.131999999999998</v>
      </c>
      <c r="B1249" s="272" t="s">
        <v>2173</v>
      </c>
      <c r="C1249" s="280" t="s">
        <v>2174</v>
      </c>
      <c r="D1249" s="281">
        <v>1552.47</v>
      </c>
      <c r="E1249" s="281">
        <v>809.26</v>
      </c>
      <c r="F1249" s="281">
        <v>10.49</v>
      </c>
      <c r="G1249" s="281">
        <v>732.72</v>
      </c>
      <c r="H1249" s="282">
        <v>13852.97</v>
      </c>
      <c r="I1249" s="282">
        <v>10560.97</v>
      </c>
      <c r="J1249" s="282">
        <v>53.07</v>
      </c>
      <c r="K1249" s="282">
        <v>3238.93</v>
      </c>
      <c r="L1249" s="357">
        <v>8.9231804801381021</v>
      </c>
      <c r="M1249" s="357">
        <v>13.05</v>
      </c>
      <c r="N1249" s="357">
        <v>5.0591039084842704</v>
      </c>
      <c r="O1249" s="357">
        <v>4.420419805655639</v>
      </c>
      <c r="P1249" s="283"/>
      <c r="Q1249" s="283"/>
      <c r="R1249" s="283">
        <v>3</v>
      </c>
    </row>
    <row r="1250" spans="1:18" ht="36">
      <c r="A1250" s="279">
        <v>62.133000000000003</v>
      </c>
      <c r="B1250" s="272" t="s">
        <v>2175</v>
      </c>
      <c r="C1250" s="280" t="s">
        <v>2176</v>
      </c>
      <c r="D1250" s="281">
        <v>1622.51</v>
      </c>
      <c r="E1250" s="281">
        <v>879.3</v>
      </c>
      <c r="F1250" s="281">
        <v>10.49</v>
      </c>
      <c r="G1250" s="281">
        <v>732.72</v>
      </c>
      <c r="H1250" s="282">
        <v>14767</v>
      </c>
      <c r="I1250" s="282">
        <v>11475</v>
      </c>
      <c r="J1250" s="282">
        <v>53.07</v>
      </c>
      <c r="K1250" s="282">
        <v>3238.93</v>
      </c>
      <c r="L1250" s="357">
        <v>9.1013306543565218</v>
      </c>
      <c r="M1250" s="357">
        <v>13.05</v>
      </c>
      <c r="N1250" s="357">
        <v>5.0591039084842704</v>
      </c>
      <c r="O1250" s="357">
        <v>4.420419805655639</v>
      </c>
      <c r="P1250" s="283"/>
      <c r="Q1250" s="283"/>
      <c r="R1250" s="283">
        <v>3</v>
      </c>
    </row>
    <row r="1251" spans="1:18" ht="12.75">
      <c r="A1251" s="426" t="s">
        <v>2177</v>
      </c>
      <c r="B1251" s="427"/>
      <c r="C1251" s="427"/>
      <c r="D1251" s="427"/>
      <c r="E1251" s="427"/>
      <c r="F1251" s="427"/>
      <c r="G1251" s="427"/>
      <c r="H1251" s="427"/>
      <c r="I1251" s="427"/>
      <c r="J1251" s="427"/>
      <c r="K1251" s="427"/>
      <c r="L1251" s="427"/>
      <c r="M1251" s="427"/>
      <c r="N1251" s="427"/>
      <c r="O1251" s="427"/>
      <c r="P1251" s="427"/>
      <c r="Q1251" s="427"/>
      <c r="R1251" s="427"/>
    </row>
    <row r="1252" spans="1:18" ht="36">
      <c r="A1252" s="279">
        <v>62.134</v>
      </c>
      <c r="B1252" s="272" t="s">
        <v>2178</v>
      </c>
      <c r="C1252" s="280" t="s">
        <v>2179</v>
      </c>
      <c r="D1252" s="281">
        <v>1053.29</v>
      </c>
      <c r="E1252" s="281">
        <v>334.12</v>
      </c>
      <c r="F1252" s="281">
        <v>21.18</v>
      </c>
      <c r="G1252" s="281">
        <v>697.99</v>
      </c>
      <c r="H1252" s="282">
        <v>7251.02</v>
      </c>
      <c r="I1252" s="282">
        <v>4360.25</v>
      </c>
      <c r="J1252" s="282">
        <v>106.9</v>
      </c>
      <c r="K1252" s="282">
        <v>2783.87</v>
      </c>
      <c r="L1252" s="357">
        <v>6.8841629560709778</v>
      </c>
      <c r="M1252" s="357">
        <v>13.05</v>
      </c>
      <c r="N1252" s="357">
        <v>5.047214353163362</v>
      </c>
      <c r="O1252" s="357">
        <v>3.9884095760684248</v>
      </c>
      <c r="P1252" s="283"/>
      <c r="Q1252" s="283"/>
      <c r="R1252" s="283">
        <v>4</v>
      </c>
    </row>
    <row r="1253" spans="1:18" ht="36">
      <c r="A1253" s="279">
        <v>62.134999999999998</v>
      </c>
      <c r="B1253" s="272" t="s">
        <v>2180</v>
      </c>
      <c r="C1253" s="280" t="s">
        <v>2181</v>
      </c>
      <c r="D1253" s="281">
        <v>1132.6500000000001</v>
      </c>
      <c r="E1253" s="281">
        <v>413.68</v>
      </c>
      <c r="F1253" s="281">
        <v>20.98</v>
      </c>
      <c r="G1253" s="281">
        <v>697.99</v>
      </c>
      <c r="H1253" s="282">
        <v>8288.5400000000009</v>
      </c>
      <c r="I1253" s="282">
        <v>5398.54</v>
      </c>
      <c r="J1253" s="282">
        <v>106.13</v>
      </c>
      <c r="K1253" s="282">
        <v>2783.87</v>
      </c>
      <c r="L1253" s="357">
        <v>7.3178298680086522</v>
      </c>
      <c r="M1253" s="357">
        <v>13.05</v>
      </c>
      <c r="N1253" s="357">
        <v>5.0586272640610099</v>
      </c>
      <c r="O1253" s="357">
        <v>3.9884095760684248</v>
      </c>
      <c r="P1253" s="283"/>
      <c r="Q1253" s="283"/>
      <c r="R1253" s="283">
        <v>4</v>
      </c>
    </row>
    <row r="1254" spans="1:18" ht="36">
      <c r="A1254" s="279">
        <v>62.136000000000003</v>
      </c>
      <c r="B1254" s="272" t="s">
        <v>2182</v>
      </c>
      <c r="C1254" s="280" t="s">
        <v>2183</v>
      </c>
      <c r="D1254" s="281">
        <v>1219.51</v>
      </c>
      <c r="E1254" s="281">
        <v>500.54</v>
      </c>
      <c r="F1254" s="281">
        <v>20.98</v>
      </c>
      <c r="G1254" s="281">
        <v>697.99</v>
      </c>
      <c r="H1254" s="282">
        <v>9422.09</v>
      </c>
      <c r="I1254" s="282">
        <v>6532.09</v>
      </c>
      <c r="J1254" s="282">
        <v>106.13</v>
      </c>
      <c r="K1254" s="282">
        <v>2783.87</v>
      </c>
      <c r="L1254" s="357">
        <v>7.7261277070298728</v>
      </c>
      <c r="M1254" s="357">
        <v>13.05</v>
      </c>
      <c r="N1254" s="357">
        <v>5.0586272640610099</v>
      </c>
      <c r="O1254" s="357">
        <v>3.9884095760684248</v>
      </c>
      <c r="P1254" s="283"/>
      <c r="Q1254" s="283"/>
      <c r="R1254" s="283">
        <v>4</v>
      </c>
    </row>
    <row r="1255" spans="1:18" ht="36">
      <c r="A1255" s="279">
        <v>62.137</v>
      </c>
      <c r="B1255" s="272" t="s">
        <v>2184</v>
      </c>
      <c r="C1255" s="280" t="s">
        <v>2185</v>
      </c>
      <c r="D1255" s="281">
        <v>1417.25</v>
      </c>
      <c r="E1255" s="281">
        <v>540.32000000000005</v>
      </c>
      <c r="F1255" s="281">
        <v>21.18</v>
      </c>
      <c r="G1255" s="281">
        <v>855.75</v>
      </c>
      <c r="H1255" s="282">
        <v>10534.04</v>
      </c>
      <c r="I1255" s="282">
        <v>7051.23</v>
      </c>
      <c r="J1255" s="282">
        <v>106.9</v>
      </c>
      <c r="K1255" s="282">
        <v>3375.91</v>
      </c>
      <c r="L1255" s="357">
        <v>7.4327324043041108</v>
      </c>
      <c r="M1255" s="357">
        <v>13.05</v>
      </c>
      <c r="N1255" s="357">
        <v>5.047214353163362</v>
      </c>
      <c r="O1255" s="357">
        <v>3.9449722465673385</v>
      </c>
      <c r="P1255" s="283"/>
      <c r="Q1255" s="283"/>
      <c r="R1255" s="283">
        <v>4</v>
      </c>
    </row>
    <row r="1256" spans="1:18" ht="36">
      <c r="A1256" s="279">
        <v>62.137999999999998</v>
      </c>
      <c r="B1256" s="272" t="s">
        <v>2186</v>
      </c>
      <c r="C1256" s="280" t="s">
        <v>2187</v>
      </c>
      <c r="D1256" s="281">
        <v>1549.72</v>
      </c>
      <c r="E1256" s="281">
        <v>672.99</v>
      </c>
      <c r="F1256" s="281">
        <v>20.98</v>
      </c>
      <c r="G1256" s="281">
        <v>855.75</v>
      </c>
      <c r="H1256" s="282">
        <v>12264.67</v>
      </c>
      <c r="I1256" s="282">
        <v>8782.6299999999992</v>
      </c>
      <c r="J1256" s="282">
        <v>106.13</v>
      </c>
      <c r="K1256" s="282">
        <v>3375.91</v>
      </c>
      <c r="L1256" s="357">
        <v>7.9141199700591072</v>
      </c>
      <c r="M1256" s="357">
        <v>13.05</v>
      </c>
      <c r="N1256" s="357">
        <v>5.0586272640610099</v>
      </c>
      <c r="O1256" s="357">
        <v>3.9449722465673385</v>
      </c>
      <c r="P1256" s="283"/>
      <c r="Q1256" s="283"/>
      <c r="R1256" s="283">
        <v>4</v>
      </c>
    </row>
    <row r="1257" spans="1:18" ht="36">
      <c r="A1257" s="279">
        <v>62.139000000000003</v>
      </c>
      <c r="B1257" s="272" t="s">
        <v>2188</v>
      </c>
      <c r="C1257" s="280" t="s">
        <v>2189</v>
      </c>
      <c r="D1257" s="281">
        <v>1625.69</v>
      </c>
      <c r="E1257" s="281">
        <v>748.96</v>
      </c>
      <c r="F1257" s="281">
        <v>20.98</v>
      </c>
      <c r="G1257" s="281">
        <v>855.75</v>
      </c>
      <c r="H1257" s="282">
        <v>13256.02</v>
      </c>
      <c r="I1257" s="282">
        <v>9773.98</v>
      </c>
      <c r="J1257" s="282">
        <v>106.13</v>
      </c>
      <c r="K1257" s="282">
        <v>3375.91</v>
      </c>
      <c r="L1257" s="357">
        <v>8.1540884178410398</v>
      </c>
      <c r="M1257" s="357">
        <v>13.05</v>
      </c>
      <c r="N1257" s="357">
        <v>5.0586272640610099</v>
      </c>
      <c r="O1257" s="357">
        <v>3.9449722465673385</v>
      </c>
      <c r="P1257" s="283"/>
      <c r="Q1257" s="283"/>
      <c r="R1257" s="283">
        <v>4</v>
      </c>
    </row>
    <row r="1258" spans="1:18" ht="36">
      <c r="A1258" s="279">
        <v>62.14</v>
      </c>
      <c r="B1258" s="272" t="s">
        <v>2190</v>
      </c>
      <c r="C1258" s="280" t="s">
        <v>2191</v>
      </c>
      <c r="D1258" s="281">
        <v>1646.2</v>
      </c>
      <c r="E1258" s="281">
        <v>562.01</v>
      </c>
      <c r="F1258" s="281">
        <v>21.18</v>
      </c>
      <c r="G1258" s="281">
        <v>1063.01</v>
      </c>
      <c r="H1258" s="282">
        <v>11584.8</v>
      </c>
      <c r="I1258" s="282">
        <v>7334.28</v>
      </c>
      <c r="J1258" s="282">
        <v>106.9</v>
      </c>
      <c r="K1258" s="282">
        <v>4143.62</v>
      </c>
      <c r="L1258" s="357">
        <v>7.0372980196816908</v>
      </c>
      <c r="M1258" s="357">
        <v>13.05</v>
      </c>
      <c r="N1258" s="357">
        <v>5.047214353163362</v>
      </c>
      <c r="O1258" s="357">
        <v>3.8980066038889567</v>
      </c>
      <c r="P1258" s="283"/>
      <c r="Q1258" s="283"/>
      <c r="R1258" s="283">
        <v>4</v>
      </c>
    </row>
    <row r="1259" spans="1:18" ht="36">
      <c r="A1259" s="279">
        <v>62.140999999999998</v>
      </c>
      <c r="B1259" s="272" t="s">
        <v>2192</v>
      </c>
      <c r="C1259" s="280" t="s">
        <v>2193</v>
      </c>
      <c r="D1259" s="281">
        <v>2076.61</v>
      </c>
      <c r="E1259" s="281">
        <v>992.62</v>
      </c>
      <c r="F1259" s="281">
        <v>20.98</v>
      </c>
      <c r="G1259" s="281">
        <v>1063.01</v>
      </c>
      <c r="H1259" s="282">
        <v>17203.48</v>
      </c>
      <c r="I1259" s="282">
        <v>12953.73</v>
      </c>
      <c r="J1259" s="282">
        <v>106.13</v>
      </c>
      <c r="K1259" s="282">
        <v>4143.62</v>
      </c>
      <c r="L1259" s="357">
        <v>8.2844058345091263</v>
      </c>
      <c r="M1259" s="357">
        <v>13.05</v>
      </c>
      <c r="N1259" s="357">
        <v>5.0586272640610099</v>
      </c>
      <c r="O1259" s="357">
        <v>3.8980066038889567</v>
      </c>
      <c r="P1259" s="283"/>
      <c r="Q1259" s="283"/>
      <c r="R1259" s="283">
        <v>4</v>
      </c>
    </row>
    <row r="1260" spans="1:18" ht="36">
      <c r="A1260" s="279">
        <v>62.142000000000003</v>
      </c>
      <c r="B1260" s="272" t="s">
        <v>2194</v>
      </c>
      <c r="C1260" s="280" t="s">
        <v>2195</v>
      </c>
      <c r="D1260" s="281">
        <v>2140.5100000000002</v>
      </c>
      <c r="E1260" s="281">
        <v>1056.52</v>
      </c>
      <c r="F1260" s="281">
        <v>20.98</v>
      </c>
      <c r="G1260" s="281">
        <v>1063.01</v>
      </c>
      <c r="H1260" s="282">
        <v>18037.419999999998</v>
      </c>
      <c r="I1260" s="282">
        <v>13787.67</v>
      </c>
      <c r="J1260" s="282">
        <v>106.13</v>
      </c>
      <c r="K1260" s="282">
        <v>4143.62</v>
      </c>
      <c r="L1260" s="357">
        <v>8.4266927040751956</v>
      </c>
      <c r="M1260" s="357">
        <v>13.05</v>
      </c>
      <c r="N1260" s="357">
        <v>5.0586272640610099</v>
      </c>
      <c r="O1260" s="357">
        <v>3.8980066038889567</v>
      </c>
      <c r="P1260" s="283"/>
      <c r="Q1260" s="283"/>
      <c r="R1260" s="283">
        <v>4</v>
      </c>
    </row>
    <row r="1261" spans="1:18" ht="12.75">
      <c r="A1261" s="426" t="s">
        <v>2196</v>
      </c>
      <c r="B1261" s="427"/>
      <c r="C1261" s="427"/>
      <c r="D1261" s="427"/>
      <c r="E1261" s="427"/>
      <c r="F1261" s="427"/>
      <c r="G1261" s="427"/>
      <c r="H1261" s="427"/>
      <c r="I1261" s="427"/>
      <c r="J1261" s="427"/>
      <c r="K1261" s="427"/>
      <c r="L1261" s="427"/>
      <c r="M1261" s="427"/>
      <c r="N1261" s="427"/>
      <c r="O1261" s="427"/>
      <c r="P1261" s="427"/>
      <c r="Q1261" s="427"/>
      <c r="R1261" s="427"/>
    </row>
    <row r="1262" spans="1:18" ht="36">
      <c r="A1262" s="279">
        <v>62.143000000000001</v>
      </c>
      <c r="B1262" s="272" t="s">
        <v>2197</v>
      </c>
      <c r="C1262" s="280" t="s">
        <v>2198</v>
      </c>
      <c r="D1262" s="281">
        <v>348.59</v>
      </c>
      <c r="E1262" s="281">
        <v>240.45</v>
      </c>
      <c r="F1262" s="281">
        <v>4.3899999999999997</v>
      </c>
      <c r="G1262" s="281">
        <v>103.75</v>
      </c>
      <c r="H1262" s="282">
        <v>3780.54</v>
      </c>
      <c r="I1262" s="282">
        <v>3137.87</v>
      </c>
      <c r="J1262" s="282">
        <v>22</v>
      </c>
      <c r="K1262" s="282">
        <v>620.66999999999996</v>
      </c>
      <c r="L1262" s="357">
        <v>10.845233655583925</v>
      </c>
      <c r="M1262" s="357">
        <v>13.05</v>
      </c>
      <c r="N1262" s="357">
        <v>5.0113895216400914</v>
      </c>
      <c r="O1262" s="357">
        <v>5.9823614457831322</v>
      </c>
      <c r="P1262" s="283"/>
      <c r="Q1262" s="283"/>
      <c r="R1262" s="283">
        <v>5</v>
      </c>
    </row>
    <row r="1263" spans="1:18" ht="24">
      <c r="A1263" s="279">
        <v>62.143999999999998</v>
      </c>
      <c r="B1263" s="272" t="s">
        <v>2199</v>
      </c>
      <c r="C1263" s="280" t="s">
        <v>2200</v>
      </c>
      <c r="D1263" s="281">
        <v>401.39</v>
      </c>
      <c r="E1263" s="281">
        <v>293.44</v>
      </c>
      <c r="F1263" s="281">
        <v>4.2</v>
      </c>
      <c r="G1263" s="281">
        <v>103.75</v>
      </c>
      <c r="H1263" s="282">
        <v>4471.17</v>
      </c>
      <c r="I1263" s="282">
        <v>3829.27</v>
      </c>
      <c r="J1263" s="282">
        <v>21.23</v>
      </c>
      <c r="K1263" s="282">
        <v>620.66999999999996</v>
      </c>
      <c r="L1263" s="357">
        <v>11.139216223622912</v>
      </c>
      <c r="M1263" s="357">
        <v>13.05</v>
      </c>
      <c r="N1263" s="357">
        <v>5.0547619047619046</v>
      </c>
      <c r="O1263" s="357">
        <v>5.9823614457831322</v>
      </c>
      <c r="P1263" s="283"/>
      <c r="Q1263" s="283"/>
      <c r="R1263" s="283">
        <v>5</v>
      </c>
    </row>
    <row r="1264" spans="1:18" ht="24">
      <c r="A1264" s="279">
        <v>62.145000000000003</v>
      </c>
      <c r="B1264" s="272" t="s">
        <v>2201</v>
      </c>
      <c r="C1264" s="280" t="s">
        <v>2202</v>
      </c>
      <c r="D1264" s="281">
        <v>588.86</v>
      </c>
      <c r="E1264" s="281">
        <v>480.91</v>
      </c>
      <c r="F1264" s="281">
        <v>4.2</v>
      </c>
      <c r="G1264" s="281">
        <v>103.75</v>
      </c>
      <c r="H1264" s="282">
        <v>6917.65</v>
      </c>
      <c r="I1264" s="282">
        <v>6275.75</v>
      </c>
      <c r="J1264" s="282">
        <v>21.23</v>
      </c>
      <c r="K1264" s="282">
        <v>620.66999999999996</v>
      </c>
      <c r="L1264" s="357">
        <v>11.747529124070237</v>
      </c>
      <c r="M1264" s="357">
        <v>13.05</v>
      </c>
      <c r="N1264" s="357">
        <v>5.0547619047619046</v>
      </c>
      <c r="O1264" s="357">
        <v>5.9823614457831322</v>
      </c>
      <c r="P1264" s="283"/>
      <c r="Q1264" s="283"/>
      <c r="R1264" s="283">
        <v>5</v>
      </c>
    </row>
    <row r="1265" spans="1:18" ht="24">
      <c r="A1265" s="279">
        <v>62.146000000000001</v>
      </c>
      <c r="B1265" s="272" t="s">
        <v>2203</v>
      </c>
      <c r="C1265" s="280" t="s">
        <v>2204</v>
      </c>
      <c r="D1265" s="281">
        <v>287.45999999999998</v>
      </c>
      <c r="E1265" s="281">
        <v>179.32</v>
      </c>
      <c r="F1265" s="281">
        <v>4.3899999999999997</v>
      </c>
      <c r="G1265" s="281">
        <v>103.75</v>
      </c>
      <c r="H1265" s="282">
        <v>2982.78</v>
      </c>
      <c r="I1265" s="282">
        <v>2340.11</v>
      </c>
      <c r="J1265" s="282">
        <v>22</v>
      </c>
      <c r="K1265" s="282">
        <v>620.66999999999996</v>
      </c>
      <c r="L1265" s="357">
        <v>10.376330619912338</v>
      </c>
      <c r="M1265" s="357">
        <v>13.05</v>
      </c>
      <c r="N1265" s="357">
        <v>5.0113895216400914</v>
      </c>
      <c r="O1265" s="357">
        <v>5.9823614457831322</v>
      </c>
      <c r="P1265" s="283"/>
      <c r="Q1265" s="283"/>
      <c r="R1265" s="283">
        <v>5</v>
      </c>
    </row>
    <row r="1266" spans="1:18" ht="24">
      <c r="A1266" s="279">
        <v>62.146999999999998</v>
      </c>
      <c r="B1266" s="272" t="s">
        <v>2205</v>
      </c>
      <c r="C1266" s="280" t="s">
        <v>2206</v>
      </c>
      <c r="D1266" s="281">
        <v>325.31</v>
      </c>
      <c r="E1266" s="281">
        <v>217.36</v>
      </c>
      <c r="F1266" s="281">
        <v>4.2</v>
      </c>
      <c r="G1266" s="281">
        <v>103.75</v>
      </c>
      <c r="H1266" s="282">
        <v>3478.4</v>
      </c>
      <c r="I1266" s="282">
        <v>2836.5</v>
      </c>
      <c r="J1266" s="282">
        <v>21.23</v>
      </c>
      <c r="K1266" s="282">
        <v>620.66999999999996</v>
      </c>
      <c r="L1266" s="357">
        <v>10.692570163843719</v>
      </c>
      <c r="M1266" s="357">
        <v>13.05</v>
      </c>
      <c r="N1266" s="357">
        <v>5.0547619047619046</v>
      </c>
      <c r="O1266" s="357">
        <v>5.9823614457831322</v>
      </c>
      <c r="P1266" s="283"/>
      <c r="Q1266" s="283"/>
      <c r="R1266" s="283">
        <v>5</v>
      </c>
    </row>
    <row r="1267" spans="1:18" ht="24">
      <c r="A1267" s="279">
        <v>62.148000000000003</v>
      </c>
      <c r="B1267" s="272" t="s">
        <v>2207</v>
      </c>
      <c r="C1267" s="280" t="s">
        <v>2208</v>
      </c>
      <c r="D1267" s="281">
        <v>467.95</v>
      </c>
      <c r="E1267" s="281">
        <v>360</v>
      </c>
      <c r="F1267" s="281">
        <v>4.2</v>
      </c>
      <c r="G1267" s="281">
        <v>103.75</v>
      </c>
      <c r="H1267" s="282">
        <v>5339.85</v>
      </c>
      <c r="I1267" s="282">
        <v>4697.95</v>
      </c>
      <c r="J1267" s="282">
        <v>21.23</v>
      </c>
      <c r="K1267" s="282">
        <v>620.66999999999996</v>
      </c>
      <c r="L1267" s="357">
        <v>11.411155037931405</v>
      </c>
      <c r="M1267" s="357">
        <v>13.05</v>
      </c>
      <c r="N1267" s="357">
        <v>5.0547619047619046</v>
      </c>
      <c r="O1267" s="357">
        <v>5.9823614457831322</v>
      </c>
      <c r="P1267" s="283"/>
      <c r="Q1267" s="283"/>
      <c r="R1267" s="283">
        <v>5</v>
      </c>
    </row>
    <row r="1268" spans="1:18" ht="24">
      <c r="A1268" s="279">
        <v>62.149000000000001</v>
      </c>
      <c r="B1268" s="272" t="s">
        <v>2209</v>
      </c>
      <c r="C1268" s="280" t="s">
        <v>2210</v>
      </c>
      <c r="D1268" s="281">
        <v>207.43</v>
      </c>
      <c r="E1268" s="281">
        <v>100.53</v>
      </c>
      <c r="F1268" s="281">
        <v>3.15</v>
      </c>
      <c r="G1268" s="281">
        <v>103.75</v>
      </c>
      <c r="H1268" s="282">
        <v>1948.47</v>
      </c>
      <c r="I1268" s="282">
        <v>1311.88</v>
      </c>
      <c r="J1268" s="282">
        <v>15.92</v>
      </c>
      <c r="K1268" s="282">
        <v>620.66999999999996</v>
      </c>
      <c r="L1268" s="357">
        <v>9.3933857204840177</v>
      </c>
      <c r="M1268" s="357">
        <v>13.05</v>
      </c>
      <c r="N1268" s="357">
        <v>5.0539682539682538</v>
      </c>
      <c r="O1268" s="357">
        <v>5.9823614457831322</v>
      </c>
      <c r="P1268" s="283"/>
      <c r="Q1268" s="283"/>
      <c r="R1268" s="283">
        <v>5</v>
      </c>
    </row>
    <row r="1269" spans="1:18" ht="24">
      <c r="A1269" s="279">
        <v>62.15</v>
      </c>
      <c r="B1269" s="272" t="s">
        <v>2211</v>
      </c>
      <c r="C1269" s="280" t="s">
        <v>2212</v>
      </c>
      <c r="D1269" s="281">
        <v>225.09</v>
      </c>
      <c r="E1269" s="281">
        <v>118.19</v>
      </c>
      <c r="F1269" s="281">
        <v>3.15</v>
      </c>
      <c r="G1269" s="281">
        <v>103.75</v>
      </c>
      <c r="H1269" s="282">
        <v>2178.9299999999998</v>
      </c>
      <c r="I1269" s="282">
        <v>1542.34</v>
      </c>
      <c r="J1269" s="282">
        <v>15.92</v>
      </c>
      <c r="K1269" s="282">
        <v>620.66999999999996</v>
      </c>
      <c r="L1269" s="357">
        <v>9.6802612288417951</v>
      </c>
      <c r="M1269" s="357">
        <v>13.05</v>
      </c>
      <c r="N1269" s="357">
        <v>5.0539682539682538</v>
      </c>
      <c r="O1269" s="357">
        <v>5.9823614457831322</v>
      </c>
      <c r="P1269" s="283"/>
      <c r="Q1269" s="283"/>
      <c r="R1269" s="283">
        <v>5</v>
      </c>
    </row>
    <row r="1270" spans="1:18" ht="24">
      <c r="A1270" s="279">
        <v>62.151000000000003</v>
      </c>
      <c r="B1270" s="272" t="s">
        <v>2213</v>
      </c>
      <c r="C1270" s="280" t="s">
        <v>2214</v>
      </c>
      <c r="D1270" s="281">
        <v>28.53</v>
      </c>
      <c r="E1270" s="281">
        <v>28.53</v>
      </c>
      <c r="F1270" s="281"/>
      <c r="G1270" s="281"/>
      <c r="H1270" s="282">
        <v>372.29</v>
      </c>
      <c r="I1270" s="282">
        <v>372.29</v>
      </c>
      <c r="J1270" s="282"/>
      <c r="K1270" s="282"/>
      <c r="L1270" s="357">
        <v>13.0490711531721</v>
      </c>
      <c r="M1270" s="357">
        <v>13.05</v>
      </c>
      <c r="N1270" s="357" t="s">
        <v>135</v>
      </c>
      <c r="O1270" s="357" t="s">
        <v>135</v>
      </c>
      <c r="P1270" s="283"/>
      <c r="Q1270" s="283"/>
      <c r="R1270" s="283">
        <v>5</v>
      </c>
    </row>
    <row r="1271" spans="1:18" ht="24">
      <c r="A1271" s="279">
        <v>62.152000000000001</v>
      </c>
      <c r="B1271" s="272" t="s">
        <v>2215</v>
      </c>
      <c r="C1271" s="280" t="s">
        <v>2216</v>
      </c>
      <c r="D1271" s="281">
        <v>35.32</v>
      </c>
      <c r="E1271" s="281">
        <v>35.32</v>
      </c>
      <c r="F1271" s="281"/>
      <c r="G1271" s="281"/>
      <c r="H1271" s="282">
        <v>460.93</v>
      </c>
      <c r="I1271" s="282">
        <v>460.93</v>
      </c>
      <c r="J1271" s="282"/>
      <c r="K1271" s="282"/>
      <c r="L1271" s="357">
        <v>13.050113250283125</v>
      </c>
      <c r="M1271" s="357">
        <v>13.05</v>
      </c>
      <c r="N1271" s="357" t="s">
        <v>135</v>
      </c>
      <c r="O1271" s="357" t="s">
        <v>135</v>
      </c>
      <c r="P1271" s="283"/>
      <c r="Q1271" s="283"/>
      <c r="R1271" s="283">
        <v>5</v>
      </c>
    </row>
    <row r="1272" spans="1:18" ht="24">
      <c r="A1272" s="279">
        <v>62.152999999999999</v>
      </c>
      <c r="B1272" s="272" t="s">
        <v>2217</v>
      </c>
      <c r="C1272" s="280" t="s">
        <v>2218</v>
      </c>
      <c r="D1272" s="281">
        <v>57.06</v>
      </c>
      <c r="E1272" s="281">
        <v>57.06</v>
      </c>
      <c r="F1272" s="281"/>
      <c r="G1272" s="281"/>
      <c r="H1272" s="282">
        <v>744.58</v>
      </c>
      <c r="I1272" s="282">
        <v>744.58</v>
      </c>
      <c r="J1272" s="282"/>
      <c r="K1272" s="282"/>
      <c r="L1272" s="357">
        <v>13.0490711531721</v>
      </c>
      <c r="M1272" s="357">
        <v>13.05</v>
      </c>
      <c r="N1272" s="357" t="s">
        <v>135</v>
      </c>
      <c r="O1272" s="357" t="s">
        <v>135</v>
      </c>
      <c r="P1272" s="283"/>
      <c r="Q1272" s="283"/>
      <c r="R1272" s="283">
        <v>5</v>
      </c>
    </row>
    <row r="1273" spans="1:18" ht="24">
      <c r="A1273" s="279">
        <v>62.154000000000003</v>
      </c>
      <c r="B1273" s="272" t="s">
        <v>2219</v>
      </c>
      <c r="C1273" s="280" t="s">
        <v>2220</v>
      </c>
      <c r="D1273" s="281">
        <v>17.66</v>
      </c>
      <c r="E1273" s="281">
        <v>17.66</v>
      </c>
      <c r="F1273" s="281"/>
      <c r="G1273" s="281"/>
      <c r="H1273" s="282">
        <v>230.47</v>
      </c>
      <c r="I1273" s="282">
        <v>230.47</v>
      </c>
      <c r="J1273" s="282"/>
      <c r="K1273" s="282"/>
      <c r="L1273" s="357">
        <v>13.050396375990939</v>
      </c>
      <c r="M1273" s="357">
        <v>13.05</v>
      </c>
      <c r="N1273" s="357" t="s">
        <v>135</v>
      </c>
      <c r="O1273" s="357" t="s">
        <v>135</v>
      </c>
      <c r="P1273" s="283"/>
      <c r="Q1273" s="283"/>
      <c r="R1273" s="283">
        <v>5</v>
      </c>
    </row>
    <row r="1274" spans="1:18" ht="24">
      <c r="A1274" s="279">
        <v>62.155000000000001</v>
      </c>
      <c r="B1274" s="272" t="s">
        <v>2221</v>
      </c>
      <c r="C1274" s="280" t="s">
        <v>2222</v>
      </c>
      <c r="D1274" s="281">
        <v>17.66</v>
      </c>
      <c r="E1274" s="281">
        <v>17.66</v>
      </c>
      <c r="F1274" s="281"/>
      <c r="G1274" s="281"/>
      <c r="H1274" s="282">
        <v>230.47</v>
      </c>
      <c r="I1274" s="282">
        <v>230.47</v>
      </c>
      <c r="J1274" s="282"/>
      <c r="K1274" s="282"/>
      <c r="L1274" s="357">
        <v>13.050396375990939</v>
      </c>
      <c r="M1274" s="357">
        <v>13.05</v>
      </c>
      <c r="N1274" s="357" t="s">
        <v>135</v>
      </c>
      <c r="O1274" s="357" t="s">
        <v>135</v>
      </c>
      <c r="P1274" s="283"/>
      <c r="Q1274" s="283"/>
      <c r="R1274" s="283">
        <v>5</v>
      </c>
    </row>
    <row r="1275" spans="1:18" ht="24">
      <c r="A1275" s="279">
        <v>62.155999999999999</v>
      </c>
      <c r="B1275" s="272" t="s">
        <v>2223</v>
      </c>
      <c r="C1275" s="280" t="s">
        <v>2224</v>
      </c>
      <c r="D1275" s="281">
        <v>35.32</v>
      </c>
      <c r="E1275" s="281">
        <v>35.32</v>
      </c>
      <c r="F1275" s="281"/>
      <c r="G1275" s="281"/>
      <c r="H1275" s="282">
        <v>460.93</v>
      </c>
      <c r="I1275" s="282">
        <v>460.93</v>
      </c>
      <c r="J1275" s="282"/>
      <c r="K1275" s="282"/>
      <c r="L1275" s="357">
        <v>13.050113250283125</v>
      </c>
      <c r="M1275" s="357">
        <v>13.05</v>
      </c>
      <c r="N1275" s="357" t="s">
        <v>135</v>
      </c>
      <c r="O1275" s="357" t="s">
        <v>135</v>
      </c>
      <c r="P1275" s="283"/>
      <c r="Q1275" s="283"/>
      <c r="R1275" s="283">
        <v>5</v>
      </c>
    </row>
    <row r="1276" spans="1:18" ht="12.75">
      <c r="A1276" s="426" t="s">
        <v>2225</v>
      </c>
      <c r="B1276" s="427"/>
      <c r="C1276" s="427"/>
      <c r="D1276" s="427"/>
      <c r="E1276" s="427"/>
      <c r="F1276" s="427"/>
      <c r="G1276" s="427"/>
      <c r="H1276" s="427"/>
      <c r="I1276" s="427"/>
      <c r="J1276" s="427"/>
      <c r="K1276" s="427"/>
      <c r="L1276" s="427"/>
      <c r="M1276" s="427"/>
      <c r="N1276" s="427"/>
      <c r="O1276" s="427"/>
      <c r="P1276" s="427"/>
      <c r="Q1276" s="427"/>
      <c r="R1276" s="427"/>
    </row>
    <row r="1277" spans="1:18" ht="36">
      <c r="A1277" s="279">
        <v>62.156999999999996</v>
      </c>
      <c r="B1277" s="272" t="s">
        <v>2226</v>
      </c>
      <c r="C1277" s="280" t="s">
        <v>2227</v>
      </c>
      <c r="D1277" s="281">
        <v>456.26</v>
      </c>
      <c r="E1277" s="281">
        <v>262.19</v>
      </c>
      <c r="F1277" s="281">
        <v>5.44</v>
      </c>
      <c r="G1277" s="281">
        <v>188.63</v>
      </c>
      <c r="H1277" s="282">
        <v>4533.62</v>
      </c>
      <c r="I1277" s="282">
        <v>3421.52</v>
      </c>
      <c r="J1277" s="282">
        <v>27.3</v>
      </c>
      <c r="K1277" s="282">
        <v>1084.8</v>
      </c>
      <c r="L1277" s="357">
        <v>9.9364835839214489</v>
      </c>
      <c r="M1277" s="357">
        <v>13.05</v>
      </c>
      <c r="N1277" s="357">
        <v>5.0183823529411766</v>
      </c>
      <c r="O1277" s="357">
        <v>5.7509409955998514</v>
      </c>
      <c r="P1277" s="283"/>
      <c r="Q1277" s="283"/>
      <c r="R1277" s="283">
        <v>6</v>
      </c>
    </row>
    <row r="1278" spans="1:18" ht="24">
      <c r="A1278" s="279">
        <v>62.158000000000001</v>
      </c>
      <c r="B1278" s="272" t="s">
        <v>2228</v>
      </c>
      <c r="C1278" s="280" t="s">
        <v>2229</v>
      </c>
      <c r="D1278" s="281">
        <v>506.34</v>
      </c>
      <c r="E1278" s="281">
        <v>312.45999999999998</v>
      </c>
      <c r="F1278" s="281">
        <v>5.25</v>
      </c>
      <c r="G1278" s="281">
        <v>188.63</v>
      </c>
      <c r="H1278" s="282">
        <v>5188.79</v>
      </c>
      <c r="I1278" s="282">
        <v>4077.46</v>
      </c>
      <c r="J1278" s="282">
        <v>26.53</v>
      </c>
      <c r="K1278" s="282">
        <v>1084.8</v>
      </c>
      <c r="L1278" s="357">
        <v>10.247639925741597</v>
      </c>
      <c r="M1278" s="357">
        <v>13.05</v>
      </c>
      <c r="N1278" s="357">
        <v>5.0533333333333337</v>
      </c>
      <c r="O1278" s="357">
        <v>5.7509409955998514</v>
      </c>
      <c r="P1278" s="283"/>
      <c r="Q1278" s="283"/>
      <c r="R1278" s="283">
        <v>6</v>
      </c>
    </row>
    <row r="1279" spans="1:18" ht="24">
      <c r="A1279" s="279">
        <v>62.158999999999999</v>
      </c>
      <c r="B1279" s="272" t="s">
        <v>2230</v>
      </c>
      <c r="C1279" s="280" t="s">
        <v>2231</v>
      </c>
      <c r="D1279" s="281">
        <v>718.26</v>
      </c>
      <c r="E1279" s="281">
        <v>524.38</v>
      </c>
      <c r="F1279" s="281">
        <v>5.25</v>
      </c>
      <c r="G1279" s="281">
        <v>188.63</v>
      </c>
      <c r="H1279" s="282">
        <v>7954.38</v>
      </c>
      <c r="I1279" s="282">
        <v>6843.05</v>
      </c>
      <c r="J1279" s="282">
        <v>26.53</v>
      </c>
      <c r="K1279" s="282">
        <v>1084.8</v>
      </c>
      <c r="L1279" s="357">
        <v>11.07451340740122</v>
      </c>
      <c r="M1279" s="357">
        <v>13.05</v>
      </c>
      <c r="N1279" s="357">
        <v>5.0533333333333337</v>
      </c>
      <c r="O1279" s="357">
        <v>5.7509409955998514</v>
      </c>
      <c r="P1279" s="283"/>
      <c r="Q1279" s="283"/>
      <c r="R1279" s="283">
        <v>6</v>
      </c>
    </row>
    <row r="1280" spans="1:18" ht="24">
      <c r="A1280" s="279">
        <v>62.16</v>
      </c>
      <c r="B1280" s="272" t="s">
        <v>2232</v>
      </c>
      <c r="C1280" s="280" t="s">
        <v>2233</v>
      </c>
      <c r="D1280" s="281">
        <v>437.24</v>
      </c>
      <c r="E1280" s="281">
        <v>243.17</v>
      </c>
      <c r="F1280" s="281">
        <v>5.44</v>
      </c>
      <c r="G1280" s="281">
        <v>188.63</v>
      </c>
      <c r="H1280" s="282">
        <v>4285.43</v>
      </c>
      <c r="I1280" s="282">
        <v>3173.33</v>
      </c>
      <c r="J1280" s="282">
        <v>27.3</v>
      </c>
      <c r="K1280" s="282">
        <v>1084.8</v>
      </c>
      <c r="L1280" s="357">
        <v>9.8010932211142627</v>
      </c>
      <c r="M1280" s="357">
        <v>13.05</v>
      </c>
      <c r="N1280" s="357">
        <v>5.0183823529411766</v>
      </c>
      <c r="O1280" s="357">
        <v>5.7509409955998514</v>
      </c>
      <c r="P1280" s="283"/>
      <c r="Q1280" s="283"/>
      <c r="R1280" s="283">
        <v>6</v>
      </c>
    </row>
    <row r="1281" spans="1:18" ht="24">
      <c r="A1281" s="279">
        <v>62.161000000000001</v>
      </c>
      <c r="B1281" s="272" t="s">
        <v>2234</v>
      </c>
      <c r="C1281" s="280" t="s">
        <v>2235</v>
      </c>
      <c r="D1281" s="281">
        <v>487.32</v>
      </c>
      <c r="E1281" s="281">
        <v>293.44</v>
      </c>
      <c r="F1281" s="281">
        <v>5.25</v>
      </c>
      <c r="G1281" s="281">
        <v>188.63</v>
      </c>
      <c r="H1281" s="282">
        <v>4940.6000000000004</v>
      </c>
      <c r="I1281" s="282">
        <v>3829.27</v>
      </c>
      <c r="J1281" s="282">
        <v>26.53</v>
      </c>
      <c r="K1281" s="282">
        <v>1084.8</v>
      </c>
      <c r="L1281" s="357">
        <v>10.138307477632768</v>
      </c>
      <c r="M1281" s="357">
        <v>13.05</v>
      </c>
      <c r="N1281" s="357">
        <v>5.0533333333333337</v>
      </c>
      <c r="O1281" s="357">
        <v>5.7509409955998514</v>
      </c>
      <c r="P1281" s="283"/>
      <c r="Q1281" s="283"/>
      <c r="R1281" s="283">
        <v>6</v>
      </c>
    </row>
    <row r="1282" spans="1:18" ht="24">
      <c r="A1282" s="279">
        <v>62.161999999999999</v>
      </c>
      <c r="B1282" s="272" t="s">
        <v>2236</v>
      </c>
      <c r="C1282" s="280" t="s">
        <v>2237</v>
      </c>
      <c r="D1282" s="281">
        <v>680.22</v>
      </c>
      <c r="E1282" s="281">
        <v>486.34</v>
      </c>
      <c r="F1282" s="281">
        <v>5.25</v>
      </c>
      <c r="G1282" s="281">
        <v>188.63</v>
      </c>
      <c r="H1282" s="282">
        <v>7457.99</v>
      </c>
      <c r="I1282" s="282">
        <v>6346.66</v>
      </c>
      <c r="J1282" s="282">
        <v>26.53</v>
      </c>
      <c r="K1282" s="282">
        <v>1084.8</v>
      </c>
      <c r="L1282" s="357">
        <v>10.964085148922406</v>
      </c>
      <c r="M1282" s="357">
        <v>13.05</v>
      </c>
      <c r="N1282" s="357">
        <v>5.0533333333333337</v>
      </c>
      <c r="O1282" s="357">
        <v>5.7509409955998514</v>
      </c>
      <c r="P1282" s="283"/>
      <c r="Q1282" s="283"/>
      <c r="R1282" s="283">
        <v>6</v>
      </c>
    </row>
    <row r="1283" spans="1:18" ht="24">
      <c r="A1283" s="279">
        <v>62.162999999999997</v>
      </c>
      <c r="B1283" s="272" t="s">
        <v>2238</v>
      </c>
      <c r="C1283" s="280" t="s">
        <v>2239</v>
      </c>
      <c r="D1283" s="281">
        <v>334.11</v>
      </c>
      <c r="E1283" s="281">
        <v>141.28</v>
      </c>
      <c r="F1283" s="281">
        <v>4.2</v>
      </c>
      <c r="G1283" s="281">
        <v>188.63</v>
      </c>
      <c r="H1283" s="282">
        <v>2949.75</v>
      </c>
      <c r="I1283" s="282">
        <v>1843.72</v>
      </c>
      <c r="J1283" s="282">
        <v>21.23</v>
      </c>
      <c r="K1283" s="282">
        <v>1084.8</v>
      </c>
      <c r="L1283" s="357">
        <v>8.8286791775163866</v>
      </c>
      <c r="M1283" s="357">
        <v>13.05</v>
      </c>
      <c r="N1283" s="357">
        <v>5.0547619047619046</v>
      </c>
      <c r="O1283" s="357">
        <v>5.7509409955998514</v>
      </c>
      <c r="P1283" s="283"/>
      <c r="Q1283" s="283"/>
      <c r="R1283" s="283">
        <v>6</v>
      </c>
    </row>
    <row r="1284" spans="1:18" ht="24">
      <c r="A1284" s="279">
        <v>62.164000000000001</v>
      </c>
      <c r="B1284" s="272" t="s">
        <v>2240</v>
      </c>
      <c r="C1284" s="280" t="s">
        <v>2241</v>
      </c>
      <c r="D1284" s="281">
        <v>359.93</v>
      </c>
      <c r="E1284" s="281">
        <v>167.1</v>
      </c>
      <c r="F1284" s="281">
        <v>4.2</v>
      </c>
      <c r="G1284" s="281">
        <v>188.63</v>
      </c>
      <c r="H1284" s="282">
        <v>3286.59</v>
      </c>
      <c r="I1284" s="282">
        <v>2180.56</v>
      </c>
      <c r="J1284" s="282">
        <v>21.23</v>
      </c>
      <c r="K1284" s="282">
        <v>1084.8</v>
      </c>
      <c r="L1284" s="357">
        <v>9.1311921762564943</v>
      </c>
      <c r="M1284" s="357">
        <v>13.05</v>
      </c>
      <c r="N1284" s="357">
        <v>5.0547619047619046</v>
      </c>
      <c r="O1284" s="357">
        <v>5.7509409955998514</v>
      </c>
      <c r="P1284" s="283"/>
      <c r="Q1284" s="283"/>
      <c r="R1284" s="283">
        <v>6</v>
      </c>
    </row>
    <row r="1285" spans="1:18" ht="24">
      <c r="A1285" s="279">
        <v>62.164999999999999</v>
      </c>
      <c r="B1285" s="272" t="s">
        <v>2242</v>
      </c>
      <c r="C1285" s="280" t="s">
        <v>2243</v>
      </c>
      <c r="D1285" s="281">
        <v>35.32</v>
      </c>
      <c r="E1285" s="281">
        <v>35.32</v>
      </c>
      <c r="F1285" s="281"/>
      <c r="G1285" s="281"/>
      <c r="H1285" s="282">
        <v>460.93</v>
      </c>
      <c r="I1285" s="282">
        <v>460.93</v>
      </c>
      <c r="J1285" s="282"/>
      <c r="K1285" s="282"/>
      <c r="L1285" s="357">
        <v>13.050113250283125</v>
      </c>
      <c r="M1285" s="357">
        <v>13.05</v>
      </c>
      <c r="N1285" s="357" t="s">
        <v>135</v>
      </c>
      <c r="O1285" s="357" t="s">
        <v>135</v>
      </c>
      <c r="P1285" s="283"/>
      <c r="Q1285" s="283"/>
      <c r="R1285" s="283">
        <v>6</v>
      </c>
    </row>
    <row r="1286" spans="1:18" ht="24">
      <c r="A1286" s="279">
        <v>62.165999999999997</v>
      </c>
      <c r="B1286" s="272" t="s">
        <v>2244</v>
      </c>
      <c r="C1286" s="280" t="s">
        <v>2245</v>
      </c>
      <c r="D1286" s="281">
        <v>42.11</v>
      </c>
      <c r="E1286" s="281">
        <v>42.11</v>
      </c>
      <c r="F1286" s="281"/>
      <c r="G1286" s="281"/>
      <c r="H1286" s="282">
        <v>549.57000000000005</v>
      </c>
      <c r="I1286" s="282">
        <v>549.57000000000005</v>
      </c>
      <c r="J1286" s="282"/>
      <c r="K1286" s="282"/>
      <c r="L1286" s="357">
        <v>13.050819282830682</v>
      </c>
      <c r="M1286" s="357">
        <v>13.05</v>
      </c>
      <c r="N1286" s="357" t="s">
        <v>135</v>
      </c>
      <c r="O1286" s="357" t="s">
        <v>135</v>
      </c>
      <c r="P1286" s="283"/>
      <c r="Q1286" s="283"/>
      <c r="R1286" s="283">
        <v>6</v>
      </c>
    </row>
    <row r="1287" spans="1:18" ht="24">
      <c r="A1287" s="279">
        <v>62.167000000000002</v>
      </c>
      <c r="B1287" s="272" t="s">
        <v>2246</v>
      </c>
      <c r="C1287" s="280" t="s">
        <v>2247</v>
      </c>
      <c r="D1287" s="281">
        <v>70.64</v>
      </c>
      <c r="E1287" s="281">
        <v>70.64</v>
      </c>
      <c r="F1287" s="281"/>
      <c r="G1287" s="281"/>
      <c r="H1287" s="282">
        <v>921.86</v>
      </c>
      <c r="I1287" s="282">
        <v>921.86</v>
      </c>
      <c r="J1287" s="282"/>
      <c r="K1287" s="282"/>
      <c r="L1287" s="357">
        <v>13.050113250283125</v>
      </c>
      <c r="M1287" s="357">
        <v>13.05</v>
      </c>
      <c r="N1287" s="357" t="s">
        <v>135</v>
      </c>
      <c r="O1287" s="357" t="s">
        <v>135</v>
      </c>
      <c r="P1287" s="283"/>
      <c r="Q1287" s="283"/>
      <c r="R1287" s="283">
        <v>6</v>
      </c>
    </row>
    <row r="1288" spans="1:18" ht="24">
      <c r="A1288" s="279">
        <v>62.167999999999999</v>
      </c>
      <c r="B1288" s="272" t="s">
        <v>2248</v>
      </c>
      <c r="C1288" s="280" t="s">
        <v>2249</v>
      </c>
      <c r="D1288" s="281">
        <v>23.09</v>
      </c>
      <c r="E1288" s="281">
        <v>23.09</v>
      </c>
      <c r="F1288" s="281"/>
      <c r="G1288" s="281"/>
      <c r="H1288" s="282">
        <v>301.38</v>
      </c>
      <c r="I1288" s="282">
        <v>301.38</v>
      </c>
      <c r="J1288" s="282"/>
      <c r="K1288" s="282"/>
      <c r="L1288" s="357">
        <v>13.052403637938502</v>
      </c>
      <c r="M1288" s="357">
        <v>13.05</v>
      </c>
      <c r="N1288" s="357" t="s">
        <v>135</v>
      </c>
      <c r="O1288" s="357" t="s">
        <v>135</v>
      </c>
      <c r="P1288" s="283"/>
      <c r="Q1288" s="283"/>
      <c r="R1288" s="283">
        <v>6</v>
      </c>
    </row>
    <row r="1289" spans="1:18" ht="24">
      <c r="A1289" s="279">
        <v>62.168999999999997</v>
      </c>
      <c r="B1289" s="272" t="s">
        <v>2250</v>
      </c>
      <c r="C1289" s="280" t="s">
        <v>2251</v>
      </c>
      <c r="D1289" s="281">
        <v>28.53</v>
      </c>
      <c r="E1289" s="281">
        <v>28.53</v>
      </c>
      <c r="F1289" s="281"/>
      <c r="G1289" s="281"/>
      <c r="H1289" s="282">
        <v>372.29</v>
      </c>
      <c r="I1289" s="282">
        <v>372.29</v>
      </c>
      <c r="J1289" s="282"/>
      <c r="K1289" s="282"/>
      <c r="L1289" s="357">
        <v>13.0490711531721</v>
      </c>
      <c r="M1289" s="357">
        <v>13.05</v>
      </c>
      <c r="N1289" s="357" t="s">
        <v>135</v>
      </c>
      <c r="O1289" s="357" t="s">
        <v>135</v>
      </c>
      <c r="P1289" s="283"/>
      <c r="Q1289" s="283"/>
      <c r="R1289" s="283">
        <v>6</v>
      </c>
    </row>
    <row r="1290" spans="1:18" ht="24">
      <c r="A1290" s="279">
        <v>62.17</v>
      </c>
      <c r="B1290" s="272" t="s">
        <v>2252</v>
      </c>
      <c r="C1290" s="280" t="s">
        <v>2253</v>
      </c>
      <c r="D1290" s="281">
        <v>46.19</v>
      </c>
      <c r="E1290" s="281">
        <v>46.19</v>
      </c>
      <c r="F1290" s="281"/>
      <c r="G1290" s="281"/>
      <c r="H1290" s="282">
        <v>602.76</v>
      </c>
      <c r="I1290" s="282">
        <v>602.76</v>
      </c>
      <c r="J1290" s="282"/>
      <c r="K1290" s="282"/>
      <c r="L1290" s="357">
        <v>13.049577830699286</v>
      </c>
      <c r="M1290" s="357">
        <v>13.05</v>
      </c>
      <c r="N1290" s="357" t="s">
        <v>135</v>
      </c>
      <c r="O1290" s="357" t="s">
        <v>135</v>
      </c>
      <c r="P1290" s="283"/>
      <c r="Q1290" s="283"/>
      <c r="R1290" s="283">
        <v>6</v>
      </c>
    </row>
    <row r="1291" spans="1:18" ht="12.75">
      <c r="A1291" s="426" t="s">
        <v>2254</v>
      </c>
      <c r="B1291" s="427"/>
      <c r="C1291" s="427"/>
      <c r="D1291" s="427"/>
      <c r="E1291" s="427"/>
      <c r="F1291" s="427"/>
      <c r="G1291" s="427"/>
      <c r="H1291" s="427"/>
      <c r="I1291" s="427"/>
      <c r="J1291" s="427"/>
      <c r="K1291" s="427"/>
      <c r="L1291" s="427"/>
      <c r="M1291" s="427"/>
      <c r="N1291" s="427"/>
      <c r="O1291" s="427"/>
      <c r="P1291" s="427"/>
      <c r="Q1291" s="427"/>
      <c r="R1291" s="427"/>
    </row>
    <row r="1292" spans="1:18" ht="36">
      <c r="A1292" s="279">
        <v>62.170999999999999</v>
      </c>
      <c r="B1292" s="272" t="s">
        <v>2255</v>
      </c>
      <c r="C1292" s="280" t="s">
        <v>2256</v>
      </c>
      <c r="D1292" s="281">
        <v>409.97</v>
      </c>
      <c r="E1292" s="281">
        <v>44.27</v>
      </c>
      <c r="F1292" s="281">
        <v>29.77</v>
      </c>
      <c r="G1292" s="281">
        <v>335.93</v>
      </c>
      <c r="H1292" s="282">
        <v>2436.2600000000002</v>
      </c>
      <c r="I1292" s="282">
        <v>577.78</v>
      </c>
      <c r="J1292" s="282">
        <v>188.74</v>
      </c>
      <c r="K1292" s="282">
        <v>1669.74</v>
      </c>
      <c r="L1292" s="357">
        <v>5.9425323804180792</v>
      </c>
      <c r="M1292" s="357">
        <v>13.05</v>
      </c>
      <c r="N1292" s="357">
        <v>6.3399395364460869</v>
      </c>
      <c r="O1292" s="357">
        <v>4.9704998065073083</v>
      </c>
      <c r="P1292" s="283"/>
      <c r="Q1292" s="283"/>
      <c r="R1292" s="283">
        <v>7</v>
      </c>
    </row>
    <row r="1293" spans="1:18" ht="36">
      <c r="A1293" s="279">
        <v>62.171999999999997</v>
      </c>
      <c r="B1293" s="272" t="s">
        <v>2257</v>
      </c>
      <c r="C1293" s="280" t="s">
        <v>2258</v>
      </c>
      <c r="D1293" s="281">
        <v>429.69</v>
      </c>
      <c r="E1293" s="281">
        <v>56.35</v>
      </c>
      <c r="F1293" s="281">
        <v>37.409999999999997</v>
      </c>
      <c r="G1293" s="281">
        <v>335.93</v>
      </c>
      <c r="H1293" s="282">
        <v>2643.27</v>
      </c>
      <c r="I1293" s="282">
        <v>735.35</v>
      </c>
      <c r="J1293" s="282">
        <v>238.18</v>
      </c>
      <c r="K1293" s="282">
        <v>1669.74</v>
      </c>
      <c r="L1293" s="357">
        <v>6.1515743908399081</v>
      </c>
      <c r="M1293" s="357">
        <v>13.05</v>
      </c>
      <c r="N1293" s="357">
        <v>6.3667468591285763</v>
      </c>
      <c r="O1293" s="357">
        <v>4.9704998065073083</v>
      </c>
      <c r="P1293" s="283"/>
      <c r="Q1293" s="283"/>
      <c r="R1293" s="283">
        <v>7</v>
      </c>
    </row>
    <row r="1294" spans="1:18" ht="36">
      <c r="A1294" s="279">
        <v>62.173000000000002</v>
      </c>
      <c r="B1294" s="272" t="s">
        <v>2259</v>
      </c>
      <c r="C1294" s="280" t="s">
        <v>2260</v>
      </c>
      <c r="D1294" s="281">
        <v>482.74</v>
      </c>
      <c r="E1294" s="281">
        <v>88.55</v>
      </c>
      <c r="F1294" s="281">
        <v>58.26</v>
      </c>
      <c r="G1294" s="281">
        <v>335.93</v>
      </c>
      <c r="H1294" s="282">
        <v>3196.99</v>
      </c>
      <c r="I1294" s="282">
        <v>1155.55</v>
      </c>
      <c r="J1294" s="282">
        <v>371.7</v>
      </c>
      <c r="K1294" s="282">
        <v>1669.74</v>
      </c>
      <c r="L1294" s="357">
        <v>6.6225918714007532</v>
      </c>
      <c r="M1294" s="357">
        <v>13.05</v>
      </c>
      <c r="N1294" s="357">
        <v>6.3800205973223481</v>
      </c>
      <c r="O1294" s="357">
        <v>4.9704998065073083</v>
      </c>
      <c r="P1294" s="283"/>
      <c r="Q1294" s="283"/>
      <c r="R1294" s="283">
        <v>7</v>
      </c>
    </row>
    <row r="1295" spans="1:18" ht="36">
      <c r="A1295" s="279">
        <v>62.173999999999999</v>
      </c>
      <c r="B1295" s="272" t="s">
        <v>2261</v>
      </c>
      <c r="C1295" s="280" t="s">
        <v>2262</v>
      </c>
      <c r="D1295" s="281">
        <v>423.09</v>
      </c>
      <c r="E1295" s="281">
        <v>52.22</v>
      </c>
      <c r="F1295" s="281">
        <v>34.94</v>
      </c>
      <c r="G1295" s="281">
        <v>335.93</v>
      </c>
      <c r="H1295" s="282">
        <v>2573.0700000000002</v>
      </c>
      <c r="I1295" s="282">
        <v>681.48</v>
      </c>
      <c r="J1295" s="282">
        <v>221.85</v>
      </c>
      <c r="K1295" s="282">
        <v>1669.74</v>
      </c>
      <c r="L1295" s="357">
        <v>6.0816138410267326</v>
      </c>
      <c r="M1295" s="357">
        <v>13.05</v>
      </c>
      <c r="N1295" s="357">
        <v>6.3494562106468235</v>
      </c>
      <c r="O1295" s="357">
        <v>4.9704998065073083</v>
      </c>
      <c r="P1295" s="283"/>
      <c r="Q1295" s="283"/>
      <c r="R1295" s="283">
        <v>7</v>
      </c>
    </row>
    <row r="1296" spans="1:18" ht="36">
      <c r="A1296" s="279">
        <v>62.174999999999997</v>
      </c>
      <c r="B1296" s="272" t="s">
        <v>2263</v>
      </c>
      <c r="C1296" s="280" t="s">
        <v>2264</v>
      </c>
      <c r="D1296" s="281">
        <v>446.31</v>
      </c>
      <c r="E1296" s="281">
        <v>66.459999999999994</v>
      </c>
      <c r="F1296" s="281">
        <v>43.92</v>
      </c>
      <c r="G1296" s="281">
        <v>335.93</v>
      </c>
      <c r="H1296" s="282">
        <v>2816.92</v>
      </c>
      <c r="I1296" s="282">
        <v>867.34</v>
      </c>
      <c r="J1296" s="282">
        <v>279.83999999999997</v>
      </c>
      <c r="K1296" s="282">
        <v>1669.74</v>
      </c>
      <c r="L1296" s="357">
        <v>6.3115771548923396</v>
      </c>
      <c r="M1296" s="357">
        <v>13.05</v>
      </c>
      <c r="N1296" s="357">
        <v>6.3715846994535514</v>
      </c>
      <c r="O1296" s="357">
        <v>4.9704998065073083</v>
      </c>
      <c r="P1296" s="283"/>
      <c r="Q1296" s="283"/>
      <c r="R1296" s="283">
        <v>7</v>
      </c>
    </row>
    <row r="1297" spans="1:18" ht="36">
      <c r="A1297" s="279">
        <v>62.176000000000002</v>
      </c>
      <c r="B1297" s="272" t="s">
        <v>2265</v>
      </c>
      <c r="C1297" s="280" t="s">
        <v>2266</v>
      </c>
      <c r="D1297" s="281">
        <v>508.97</v>
      </c>
      <c r="E1297" s="281">
        <v>104.44</v>
      </c>
      <c r="F1297" s="281">
        <v>68.599999999999994</v>
      </c>
      <c r="G1297" s="281">
        <v>335.93</v>
      </c>
      <c r="H1297" s="282">
        <v>3470.63</v>
      </c>
      <c r="I1297" s="282">
        <v>1362.96</v>
      </c>
      <c r="J1297" s="282">
        <v>437.93</v>
      </c>
      <c r="K1297" s="282">
        <v>1669.74</v>
      </c>
      <c r="L1297" s="357">
        <v>6.8189284240721459</v>
      </c>
      <c r="M1297" s="357">
        <v>13.05</v>
      </c>
      <c r="N1297" s="357">
        <v>6.3838192419825077</v>
      </c>
      <c r="O1297" s="357">
        <v>4.9704998065073083</v>
      </c>
      <c r="P1297" s="283"/>
      <c r="Q1297" s="283"/>
      <c r="R1297" s="283">
        <v>7</v>
      </c>
    </row>
    <row r="1298" spans="1:18" ht="36">
      <c r="A1298" s="279">
        <v>62.177</v>
      </c>
      <c r="B1298" s="272" t="s">
        <v>2267</v>
      </c>
      <c r="C1298" s="280" t="s">
        <v>2268</v>
      </c>
      <c r="D1298" s="281">
        <v>1208.31</v>
      </c>
      <c r="E1298" s="281">
        <v>240.48</v>
      </c>
      <c r="F1298" s="281">
        <v>2.29</v>
      </c>
      <c r="G1298" s="281">
        <v>965.54</v>
      </c>
      <c r="H1298" s="282">
        <v>9809.9599999999991</v>
      </c>
      <c r="I1298" s="282">
        <v>3138.33</v>
      </c>
      <c r="J1298" s="282">
        <v>11.38</v>
      </c>
      <c r="K1298" s="282">
        <v>6660.25</v>
      </c>
      <c r="L1298" s="357">
        <v>8.1187443619600934</v>
      </c>
      <c r="M1298" s="357">
        <v>13.05</v>
      </c>
      <c r="N1298" s="357">
        <v>4.9694323144104811</v>
      </c>
      <c r="O1298" s="357">
        <v>6.8979534768109039</v>
      </c>
      <c r="P1298" s="283"/>
      <c r="Q1298" s="283"/>
      <c r="R1298" s="283">
        <v>7</v>
      </c>
    </row>
    <row r="1299" spans="1:18" ht="36">
      <c r="A1299" s="279">
        <v>62.177999999999997</v>
      </c>
      <c r="B1299" s="272" t="s">
        <v>2269</v>
      </c>
      <c r="C1299" s="280" t="s">
        <v>2270</v>
      </c>
      <c r="D1299" s="281">
        <v>1267.33</v>
      </c>
      <c r="E1299" s="281">
        <v>299.69</v>
      </c>
      <c r="F1299" s="281">
        <v>2.1</v>
      </c>
      <c r="G1299" s="281">
        <v>965.54</v>
      </c>
      <c r="H1299" s="282">
        <v>10581.8</v>
      </c>
      <c r="I1299" s="282">
        <v>3910.94</v>
      </c>
      <c r="J1299" s="282">
        <v>10.61</v>
      </c>
      <c r="K1299" s="282">
        <v>6660.25</v>
      </c>
      <c r="L1299" s="357">
        <v>8.3496800359811569</v>
      </c>
      <c r="M1299" s="357">
        <v>13.05</v>
      </c>
      <c r="N1299" s="357">
        <v>5.0523809523809522</v>
      </c>
      <c r="O1299" s="357">
        <v>6.8979534768109039</v>
      </c>
      <c r="P1299" s="283"/>
      <c r="Q1299" s="283"/>
      <c r="R1299" s="283">
        <v>7</v>
      </c>
    </row>
    <row r="1300" spans="1:18" ht="36">
      <c r="A1300" s="279">
        <v>62.179000000000002</v>
      </c>
      <c r="B1300" s="272" t="s">
        <v>2271</v>
      </c>
      <c r="C1300" s="280" t="s">
        <v>2272</v>
      </c>
      <c r="D1300" s="281">
        <v>1354.45</v>
      </c>
      <c r="E1300" s="281">
        <v>386.81</v>
      </c>
      <c r="F1300" s="281">
        <v>2.1</v>
      </c>
      <c r="G1300" s="281">
        <v>965.54</v>
      </c>
      <c r="H1300" s="282">
        <v>11718.78</v>
      </c>
      <c r="I1300" s="282">
        <v>5047.92</v>
      </c>
      <c r="J1300" s="282">
        <v>10.61</v>
      </c>
      <c r="K1300" s="282">
        <v>6660.25</v>
      </c>
      <c r="L1300" s="357">
        <v>8.6520580309350663</v>
      </c>
      <c r="M1300" s="357">
        <v>13.05</v>
      </c>
      <c r="N1300" s="357">
        <v>5.0523809523809522</v>
      </c>
      <c r="O1300" s="357">
        <v>6.8979534768109039</v>
      </c>
      <c r="P1300" s="283"/>
      <c r="Q1300" s="283"/>
      <c r="R1300" s="283">
        <v>7</v>
      </c>
    </row>
    <row r="1301" spans="1:18" ht="36">
      <c r="A1301" s="279">
        <v>62.18</v>
      </c>
      <c r="B1301" s="272" t="s">
        <v>2273</v>
      </c>
      <c r="C1301" s="280" t="s">
        <v>2274</v>
      </c>
      <c r="D1301" s="281">
        <v>1248.97</v>
      </c>
      <c r="E1301" s="281">
        <v>281.14</v>
      </c>
      <c r="F1301" s="281">
        <v>2.29</v>
      </c>
      <c r="G1301" s="281">
        <v>965.54</v>
      </c>
      <c r="H1301" s="282">
        <v>10340.549999999999</v>
      </c>
      <c r="I1301" s="282">
        <v>3668.92</v>
      </c>
      <c r="J1301" s="282">
        <v>11.38</v>
      </c>
      <c r="K1301" s="282">
        <v>6660.25</v>
      </c>
      <c r="L1301" s="357">
        <v>8.2792621119802714</v>
      </c>
      <c r="M1301" s="357">
        <v>13.05</v>
      </c>
      <c r="N1301" s="357">
        <v>4.9694323144104811</v>
      </c>
      <c r="O1301" s="357">
        <v>6.8979534768109039</v>
      </c>
      <c r="P1301" s="283"/>
      <c r="Q1301" s="283"/>
      <c r="R1301" s="283">
        <v>7</v>
      </c>
    </row>
    <row r="1302" spans="1:18" ht="36">
      <c r="A1302" s="279">
        <v>62.180999999999997</v>
      </c>
      <c r="B1302" s="272" t="s">
        <v>2275</v>
      </c>
      <c r="C1302" s="280" t="s">
        <v>2276</v>
      </c>
      <c r="D1302" s="281">
        <v>1318.48</v>
      </c>
      <c r="E1302" s="281">
        <v>350.84</v>
      </c>
      <c r="F1302" s="281">
        <v>2.1</v>
      </c>
      <c r="G1302" s="281">
        <v>965.54</v>
      </c>
      <c r="H1302" s="282">
        <v>11249.36</v>
      </c>
      <c r="I1302" s="282">
        <v>4578.5</v>
      </c>
      <c r="J1302" s="282">
        <v>10.61</v>
      </c>
      <c r="K1302" s="282">
        <v>6660.25</v>
      </c>
      <c r="L1302" s="357">
        <v>8.5320672289302841</v>
      </c>
      <c r="M1302" s="357">
        <v>13.05</v>
      </c>
      <c r="N1302" s="357">
        <v>5.0523809523809522</v>
      </c>
      <c r="O1302" s="357">
        <v>6.8979534768109039</v>
      </c>
      <c r="P1302" s="283"/>
      <c r="Q1302" s="283"/>
      <c r="R1302" s="283">
        <v>7</v>
      </c>
    </row>
    <row r="1303" spans="1:18" ht="36">
      <c r="A1303" s="279">
        <v>62.182000000000002</v>
      </c>
      <c r="B1303" s="272" t="s">
        <v>2277</v>
      </c>
      <c r="C1303" s="280" t="s">
        <v>2278</v>
      </c>
      <c r="D1303" s="281">
        <v>1403.26</v>
      </c>
      <c r="E1303" s="281">
        <v>435.62</v>
      </c>
      <c r="F1303" s="281">
        <v>2.1</v>
      </c>
      <c r="G1303" s="281">
        <v>965.54</v>
      </c>
      <c r="H1303" s="282">
        <v>12355.76</v>
      </c>
      <c r="I1303" s="282">
        <v>5684.9</v>
      </c>
      <c r="J1303" s="282">
        <v>10.61</v>
      </c>
      <c r="K1303" s="282">
        <v>6660.25</v>
      </c>
      <c r="L1303" s="357">
        <v>8.8050396932856358</v>
      </c>
      <c r="M1303" s="357">
        <v>13.05</v>
      </c>
      <c r="N1303" s="357">
        <v>5.0523809523809522</v>
      </c>
      <c r="O1303" s="357">
        <v>6.8979534768109039</v>
      </c>
      <c r="P1303" s="283"/>
      <c r="Q1303" s="283"/>
      <c r="R1303" s="283">
        <v>7</v>
      </c>
    </row>
    <row r="1304" spans="1:18" ht="12.75">
      <c r="A1304" s="426" t="s">
        <v>2279</v>
      </c>
      <c r="B1304" s="427"/>
      <c r="C1304" s="427"/>
      <c r="D1304" s="427"/>
      <c r="E1304" s="427"/>
      <c r="F1304" s="427"/>
      <c r="G1304" s="427"/>
      <c r="H1304" s="427"/>
      <c r="I1304" s="427"/>
      <c r="J1304" s="427"/>
      <c r="K1304" s="427"/>
      <c r="L1304" s="427"/>
      <c r="M1304" s="427"/>
      <c r="N1304" s="427"/>
      <c r="O1304" s="427"/>
      <c r="P1304" s="427"/>
      <c r="Q1304" s="427"/>
      <c r="R1304" s="427"/>
    </row>
    <row r="1305" spans="1:18" ht="36">
      <c r="A1305" s="279">
        <v>62.183</v>
      </c>
      <c r="B1305" s="272" t="s">
        <v>2280</v>
      </c>
      <c r="C1305" s="280" t="s">
        <v>2281</v>
      </c>
      <c r="D1305" s="281">
        <v>803.92</v>
      </c>
      <c r="E1305" s="281">
        <v>84.52</v>
      </c>
      <c r="F1305" s="281">
        <v>65.23</v>
      </c>
      <c r="G1305" s="281">
        <v>654.16999999999996</v>
      </c>
      <c r="H1305" s="282">
        <v>4341.24</v>
      </c>
      <c r="I1305" s="282">
        <v>1103.03</v>
      </c>
      <c r="J1305" s="282">
        <v>403.14</v>
      </c>
      <c r="K1305" s="282">
        <v>2835.07</v>
      </c>
      <c r="L1305" s="357">
        <v>5.400089561150363</v>
      </c>
      <c r="M1305" s="357">
        <v>13.05</v>
      </c>
      <c r="N1305" s="357">
        <v>6.1802851448719904</v>
      </c>
      <c r="O1305" s="357">
        <v>4.3338428848770203</v>
      </c>
      <c r="P1305" s="283"/>
      <c r="Q1305" s="283"/>
      <c r="R1305" s="283">
        <v>8</v>
      </c>
    </row>
    <row r="1306" spans="1:18" ht="36">
      <c r="A1306" s="279">
        <v>62.183999999999997</v>
      </c>
      <c r="B1306" s="272" t="s">
        <v>2282</v>
      </c>
      <c r="C1306" s="280" t="s">
        <v>2283</v>
      </c>
      <c r="D1306" s="281">
        <v>839.04</v>
      </c>
      <c r="E1306" s="281">
        <v>105.99</v>
      </c>
      <c r="F1306" s="281">
        <v>78.88</v>
      </c>
      <c r="G1306" s="281">
        <v>654.16999999999996</v>
      </c>
      <c r="H1306" s="282">
        <v>4709.26</v>
      </c>
      <c r="I1306" s="282">
        <v>1383.16</v>
      </c>
      <c r="J1306" s="282">
        <v>491.03</v>
      </c>
      <c r="K1306" s="282">
        <v>2835.07</v>
      </c>
      <c r="L1306" s="357">
        <v>5.612676392067125</v>
      </c>
      <c r="M1306" s="357">
        <v>13.05</v>
      </c>
      <c r="N1306" s="357">
        <v>6.2250253549695742</v>
      </c>
      <c r="O1306" s="357">
        <v>4.3338428848770203</v>
      </c>
      <c r="P1306" s="283"/>
      <c r="Q1306" s="283"/>
      <c r="R1306" s="283">
        <v>8</v>
      </c>
    </row>
    <row r="1307" spans="1:18" ht="36">
      <c r="A1307" s="279">
        <v>62.185000000000002</v>
      </c>
      <c r="B1307" s="272" t="s">
        <v>2284</v>
      </c>
      <c r="C1307" s="280" t="s">
        <v>2285</v>
      </c>
      <c r="D1307" s="281">
        <v>942.95</v>
      </c>
      <c r="E1307" s="281">
        <v>169.04</v>
      </c>
      <c r="F1307" s="281">
        <v>119.74</v>
      </c>
      <c r="G1307" s="281">
        <v>654.16999999999996</v>
      </c>
      <c r="H1307" s="282">
        <v>5793.87</v>
      </c>
      <c r="I1307" s="282">
        <v>2206.06</v>
      </c>
      <c r="J1307" s="282">
        <v>752.74</v>
      </c>
      <c r="K1307" s="282">
        <v>2835.07</v>
      </c>
      <c r="L1307" s="357">
        <v>6.1444085052229704</v>
      </c>
      <c r="M1307" s="357">
        <v>13.05</v>
      </c>
      <c r="N1307" s="357">
        <v>6.2864539836312012</v>
      </c>
      <c r="O1307" s="357">
        <v>4.3338428848770203</v>
      </c>
      <c r="P1307" s="283"/>
      <c r="Q1307" s="283"/>
      <c r="R1307" s="283">
        <v>8</v>
      </c>
    </row>
    <row r="1308" spans="1:18" ht="36">
      <c r="A1308" s="279">
        <v>62.186</v>
      </c>
      <c r="B1308" s="272" t="s">
        <v>2286</v>
      </c>
      <c r="C1308" s="280" t="s">
        <v>2287</v>
      </c>
      <c r="D1308" s="281">
        <v>1349.13</v>
      </c>
      <c r="E1308" s="281">
        <v>150.57</v>
      </c>
      <c r="F1308" s="281">
        <v>111.27</v>
      </c>
      <c r="G1308" s="281">
        <v>1087.29</v>
      </c>
      <c r="H1308" s="282">
        <v>7361.13</v>
      </c>
      <c r="I1308" s="282">
        <v>1964.98</v>
      </c>
      <c r="J1308" s="282">
        <v>697.96</v>
      </c>
      <c r="K1308" s="282">
        <v>4698.1899999999996</v>
      </c>
      <c r="L1308" s="357">
        <v>5.4562051099597513</v>
      </c>
      <c r="M1308" s="357">
        <v>13.05</v>
      </c>
      <c r="N1308" s="357">
        <v>6.2726700817830512</v>
      </c>
      <c r="O1308" s="357">
        <v>4.3210091144037008</v>
      </c>
      <c r="P1308" s="283"/>
      <c r="Q1308" s="283"/>
      <c r="R1308" s="283">
        <v>8</v>
      </c>
    </row>
    <row r="1309" spans="1:18" ht="36">
      <c r="A1309" s="279">
        <v>62.186999999999998</v>
      </c>
      <c r="B1309" s="272" t="s">
        <v>2288</v>
      </c>
      <c r="C1309" s="280" t="s">
        <v>2289</v>
      </c>
      <c r="D1309" s="281">
        <v>1410.38</v>
      </c>
      <c r="E1309" s="281">
        <v>187</v>
      </c>
      <c r="F1309" s="281">
        <v>136.09</v>
      </c>
      <c r="G1309" s="281">
        <v>1087.29</v>
      </c>
      <c r="H1309" s="282">
        <v>7996.01</v>
      </c>
      <c r="I1309" s="282">
        <v>2440.4</v>
      </c>
      <c r="J1309" s="282">
        <v>857.42</v>
      </c>
      <c r="K1309" s="282">
        <v>4698.1899999999996</v>
      </c>
      <c r="L1309" s="357">
        <v>5.669401154298841</v>
      </c>
      <c r="M1309" s="357">
        <v>13.05</v>
      </c>
      <c r="N1309" s="357">
        <v>6.3003894481593061</v>
      </c>
      <c r="O1309" s="357">
        <v>4.3210091144037008</v>
      </c>
      <c r="P1309" s="283"/>
      <c r="Q1309" s="283"/>
      <c r="R1309" s="283">
        <v>8</v>
      </c>
    </row>
    <row r="1310" spans="1:18" ht="36">
      <c r="A1310" s="279">
        <v>62.188000000000002</v>
      </c>
      <c r="B1310" s="272" t="s">
        <v>2290</v>
      </c>
      <c r="C1310" s="280" t="s">
        <v>2291</v>
      </c>
      <c r="D1310" s="281">
        <v>1585.84</v>
      </c>
      <c r="E1310" s="281">
        <v>286.89999999999998</v>
      </c>
      <c r="F1310" s="281">
        <v>211.65</v>
      </c>
      <c r="G1310" s="281">
        <v>1087.29</v>
      </c>
      <c r="H1310" s="282">
        <v>9783.61</v>
      </c>
      <c r="I1310" s="282">
        <v>3744.1</v>
      </c>
      <c r="J1310" s="282">
        <v>1341.32</v>
      </c>
      <c r="K1310" s="282">
        <v>4698.1899999999996</v>
      </c>
      <c r="L1310" s="357">
        <v>6.1693550421227874</v>
      </c>
      <c r="M1310" s="357">
        <v>13.05</v>
      </c>
      <c r="N1310" s="357">
        <v>6.3374438932199384</v>
      </c>
      <c r="O1310" s="357">
        <v>4.3210091144037008</v>
      </c>
      <c r="P1310" s="283"/>
      <c r="Q1310" s="283"/>
      <c r="R1310" s="283">
        <v>8</v>
      </c>
    </row>
    <row r="1311" spans="1:18" ht="36">
      <c r="A1311" s="279">
        <v>62.189</v>
      </c>
      <c r="B1311" s="272" t="s">
        <v>2292</v>
      </c>
      <c r="C1311" s="280" t="s">
        <v>2293</v>
      </c>
      <c r="D1311" s="281">
        <v>828.93</v>
      </c>
      <c r="E1311" s="281">
        <v>99.69</v>
      </c>
      <c r="F1311" s="281">
        <v>75.069999999999993</v>
      </c>
      <c r="G1311" s="281">
        <v>654.16999999999996</v>
      </c>
      <c r="H1311" s="282">
        <v>4602.24</v>
      </c>
      <c r="I1311" s="282">
        <v>1301.01</v>
      </c>
      <c r="J1311" s="282">
        <v>466.16</v>
      </c>
      <c r="K1311" s="282">
        <v>2835.07</v>
      </c>
      <c r="L1311" s="357">
        <v>5.5520248995693242</v>
      </c>
      <c r="M1311" s="357">
        <v>13.05</v>
      </c>
      <c r="N1311" s="357">
        <v>6.2096709737578273</v>
      </c>
      <c r="O1311" s="357">
        <v>4.3338428848770203</v>
      </c>
      <c r="P1311" s="283"/>
      <c r="Q1311" s="283"/>
      <c r="R1311" s="283">
        <v>8</v>
      </c>
    </row>
    <row r="1312" spans="1:18" ht="36">
      <c r="A1312" s="279">
        <v>62.19</v>
      </c>
      <c r="B1312" s="272" t="s">
        <v>2294</v>
      </c>
      <c r="C1312" s="280" t="s">
        <v>2295</v>
      </c>
      <c r="D1312" s="281">
        <v>870.23</v>
      </c>
      <c r="E1312" s="281">
        <v>124.67</v>
      </c>
      <c r="F1312" s="281">
        <v>91.39</v>
      </c>
      <c r="G1312" s="281">
        <v>654.16999999999996</v>
      </c>
      <c r="H1312" s="282">
        <v>5033.1499999999996</v>
      </c>
      <c r="I1312" s="282">
        <v>1626.93</v>
      </c>
      <c r="J1312" s="282">
        <v>571.15</v>
      </c>
      <c r="K1312" s="282">
        <v>2835.07</v>
      </c>
      <c r="L1312" s="357">
        <v>5.7837008606920008</v>
      </c>
      <c r="M1312" s="357">
        <v>13.05</v>
      </c>
      <c r="N1312" s="357">
        <v>6.249589670642302</v>
      </c>
      <c r="O1312" s="357">
        <v>4.3338428848770203</v>
      </c>
      <c r="P1312" s="283"/>
      <c r="Q1312" s="283"/>
      <c r="R1312" s="283">
        <v>8</v>
      </c>
    </row>
    <row r="1313" spans="1:18" ht="36">
      <c r="A1313" s="279">
        <v>62.191000000000003</v>
      </c>
      <c r="B1313" s="272" t="s">
        <v>2296</v>
      </c>
      <c r="C1313" s="280" t="s">
        <v>2297</v>
      </c>
      <c r="D1313" s="281">
        <v>989.99</v>
      </c>
      <c r="E1313" s="281">
        <v>196.39</v>
      </c>
      <c r="F1313" s="281">
        <v>139.43</v>
      </c>
      <c r="G1313" s="281">
        <v>654.16999999999996</v>
      </c>
      <c r="H1313" s="282">
        <v>6276.82</v>
      </c>
      <c r="I1313" s="282">
        <v>2562.96</v>
      </c>
      <c r="J1313" s="282">
        <v>878.79</v>
      </c>
      <c r="K1313" s="282">
        <v>2835.07</v>
      </c>
      <c r="L1313" s="357">
        <v>6.3402862655178334</v>
      </c>
      <c r="M1313" s="357">
        <v>13.05</v>
      </c>
      <c r="N1313" s="357">
        <v>6.302732553969733</v>
      </c>
      <c r="O1313" s="357">
        <v>4.3338428848770203</v>
      </c>
      <c r="P1313" s="283"/>
      <c r="Q1313" s="283"/>
      <c r="R1313" s="283">
        <v>8</v>
      </c>
    </row>
    <row r="1314" spans="1:18" ht="36">
      <c r="A1314" s="279">
        <v>62.192</v>
      </c>
      <c r="B1314" s="272" t="s">
        <v>2298</v>
      </c>
      <c r="C1314" s="280" t="s">
        <v>2299</v>
      </c>
      <c r="D1314" s="281">
        <v>1390.67</v>
      </c>
      <c r="E1314" s="281">
        <v>174.1</v>
      </c>
      <c r="F1314" s="281">
        <v>129.28</v>
      </c>
      <c r="G1314" s="281">
        <v>1087.29</v>
      </c>
      <c r="H1314" s="282">
        <v>7783.57</v>
      </c>
      <c r="I1314" s="282">
        <v>2272.0500000000002</v>
      </c>
      <c r="J1314" s="282">
        <v>813.33</v>
      </c>
      <c r="K1314" s="282">
        <v>4698.1899999999996</v>
      </c>
      <c r="L1314" s="357">
        <v>5.5969928164122322</v>
      </c>
      <c r="M1314" s="357">
        <v>13.05</v>
      </c>
      <c r="N1314" s="357">
        <v>6.2912283415841586</v>
      </c>
      <c r="O1314" s="357">
        <v>4.3210091144037008</v>
      </c>
      <c r="P1314" s="283"/>
      <c r="Q1314" s="283"/>
      <c r="R1314" s="283">
        <v>8</v>
      </c>
    </row>
    <row r="1315" spans="1:18" ht="36">
      <c r="A1315" s="279">
        <v>62.192999999999998</v>
      </c>
      <c r="B1315" s="272" t="s">
        <v>2300</v>
      </c>
      <c r="C1315" s="280" t="s">
        <v>2301</v>
      </c>
      <c r="D1315" s="281">
        <v>1462.58</v>
      </c>
      <c r="E1315" s="281">
        <v>216.51</v>
      </c>
      <c r="F1315" s="281">
        <v>158.78</v>
      </c>
      <c r="G1315" s="281">
        <v>1087.29</v>
      </c>
      <c r="H1315" s="282">
        <v>8526.48</v>
      </c>
      <c r="I1315" s="282">
        <v>2825.59</v>
      </c>
      <c r="J1315" s="282">
        <v>1002.7</v>
      </c>
      <c r="K1315" s="282">
        <v>4698.1899999999996</v>
      </c>
      <c r="L1315" s="357">
        <v>5.8297529024053389</v>
      </c>
      <c r="M1315" s="357">
        <v>13.05</v>
      </c>
      <c r="N1315" s="357">
        <v>6.3150270814964102</v>
      </c>
      <c r="O1315" s="357">
        <v>4.3210091144037008</v>
      </c>
      <c r="P1315" s="283"/>
      <c r="Q1315" s="283"/>
      <c r="R1315" s="283">
        <v>8</v>
      </c>
    </row>
    <row r="1316" spans="1:18" ht="36">
      <c r="A1316" s="279">
        <v>62.194000000000003</v>
      </c>
      <c r="B1316" s="272" t="s">
        <v>2302</v>
      </c>
      <c r="C1316" s="280" t="s">
        <v>2303</v>
      </c>
      <c r="D1316" s="281">
        <v>1643.4</v>
      </c>
      <c r="E1316" s="281">
        <v>308.26</v>
      </c>
      <c r="F1316" s="281">
        <v>247.85</v>
      </c>
      <c r="G1316" s="281">
        <v>1087.29</v>
      </c>
      <c r="H1316" s="282">
        <v>10294.200000000001</v>
      </c>
      <c r="I1316" s="282">
        <v>4022.89</v>
      </c>
      <c r="J1316" s="282">
        <v>1573.12</v>
      </c>
      <c r="K1316" s="282">
        <v>4698.1899999999996</v>
      </c>
      <c r="L1316" s="357">
        <v>6.263964950711939</v>
      </c>
      <c r="M1316" s="357">
        <v>13.05</v>
      </c>
      <c r="N1316" s="357">
        <v>6.347064756909421</v>
      </c>
      <c r="O1316" s="357">
        <v>4.3210091144037008</v>
      </c>
      <c r="P1316" s="283"/>
      <c r="Q1316" s="283"/>
      <c r="R1316" s="283">
        <v>8</v>
      </c>
    </row>
    <row r="1317" spans="1:18" ht="12.75">
      <c r="A1317" s="426" t="s">
        <v>2304</v>
      </c>
      <c r="B1317" s="427"/>
      <c r="C1317" s="427"/>
      <c r="D1317" s="427"/>
      <c r="E1317" s="427"/>
      <c r="F1317" s="427"/>
      <c r="G1317" s="427"/>
      <c r="H1317" s="427"/>
      <c r="I1317" s="427"/>
      <c r="J1317" s="427"/>
      <c r="K1317" s="427"/>
      <c r="L1317" s="427"/>
      <c r="M1317" s="427"/>
      <c r="N1317" s="427"/>
      <c r="O1317" s="427"/>
      <c r="P1317" s="427"/>
      <c r="Q1317" s="427"/>
      <c r="R1317" s="427"/>
    </row>
    <row r="1318" spans="1:18" ht="36">
      <c r="A1318" s="279">
        <v>62.195</v>
      </c>
      <c r="B1318" s="272" t="s">
        <v>2305</v>
      </c>
      <c r="C1318" s="280" t="s">
        <v>2306</v>
      </c>
      <c r="D1318" s="281">
        <v>377.97</v>
      </c>
      <c r="E1318" s="281">
        <v>245.07</v>
      </c>
      <c r="F1318" s="281">
        <v>1.05</v>
      </c>
      <c r="G1318" s="281">
        <v>131.85</v>
      </c>
      <c r="H1318" s="282">
        <v>3766.59</v>
      </c>
      <c r="I1318" s="282">
        <v>3198.17</v>
      </c>
      <c r="J1318" s="282">
        <v>5.31</v>
      </c>
      <c r="K1318" s="282">
        <v>563.11</v>
      </c>
      <c r="L1318" s="357">
        <v>9.9653147075164696</v>
      </c>
      <c r="M1318" s="357">
        <v>13.05</v>
      </c>
      <c r="N1318" s="357">
        <v>5.0571428571428569</v>
      </c>
      <c r="O1318" s="357">
        <v>4.2708380735684495</v>
      </c>
      <c r="P1318" s="283"/>
      <c r="Q1318" s="283"/>
      <c r="R1318" s="283">
        <v>9</v>
      </c>
    </row>
    <row r="1319" spans="1:18" ht="36">
      <c r="A1319" s="279">
        <v>62.195999999999998</v>
      </c>
      <c r="B1319" s="272" t="s">
        <v>2307</v>
      </c>
      <c r="C1319" s="280" t="s">
        <v>2308</v>
      </c>
      <c r="D1319" s="281">
        <v>432.28</v>
      </c>
      <c r="E1319" s="281">
        <v>299.38</v>
      </c>
      <c r="F1319" s="281">
        <v>1.05</v>
      </c>
      <c r="G1319" s="281">
        <v>131.85</v>
      </c>
      <c r="H1319" s="282">
        <v>4475.37</v>
      </c>
      <c r="I1319" s="282">
        <v>3906.95</v>
      </c>
      <c r="J1319" s="282">
        <v>5.31</v>
      </c>
      <c r="K1319" s="282">
        <v>563.11</v>
      </c>
      <c r="L1319" s="357">
        <v>10.352942537244379</v>
      </c>
      <c r="M1319" s="357">
        <v>13.05</v>
      </c>
      <c r="N1319" s="357">
        <v>5.0571428571428569</v>
      </c>
      <c r="O1319" s="357">
        <v>4.2708380735684495</v>
      </c>
      <c r="P1319" s="283"/>
      <c r="Q1319" s="283"/>
      <c r="R1319" s="283">
        <v>9</v>
      </c>
    </row>
    <row r="1320" spans="1:18" ht="36">
      <c r="A1320" s="284">
        <v>62.197000000000003</v>
      </c>
      <c r="B1320" s="285" t="s">
        <v>2309</v>
      </c>
      <c r="C1320" s="286" t="s">
        <v>2310</v>
      </c>
      <c r="D1320" s="287">
        <v>623.04</v>
      </c>
      <c r="E1320" s="287">
        <v>490.14</v>
      </c>
      <c r="F1320" s="287">
        <v>1.05</v>
      </c>
      <c r="G1320" s="287">
        <v>131.85</v>
      </c>
      <c r="H1320" s="288">
        <v>6964.76</v>
      </c>
      <c r="I1320" s="288">
        <v>6396.34</v>
      </c>
      <c r="J1320" s="288">
        <v>5.31</v>
      </c>
      <c r="K1320" s="288">
        <v>563.11</v>
      </c>
      <c r="L1320" s="356">
        <v>11.178672316384182</v>
      </c>
      <c r="M1320" s="356">
        <v>13.05</v>
      </c>
      <c r="N1320" s="356">
        <v>5.0571428571428569</v>
      </c>
      <c r="O1320" s="356">
        <v>4.2708380735684495</v>
      </c>
      <c r="P1320" s="289"/>
      <c r="Q1320" s="289"/>
      <c r="R1320" s="289">
        <v>9</v>
      </c>
    </row>
    <row r="1321" spans="1:18" ht="12.75">
      <c r="A1321" s="428" t="s">
        <v>2311</v>
      </c>
      <c r="B1321" s="429"/>
      <c r="C1321" s="429"/>
      <c r="D1321" s="429"/>
      <c r="E1321" s="429"/>
      <c r="F1321" s="429"/>
      <c r="G1321" s="429"/>
      <c r="H1321" s="429"/>
      <c r="I1321" s="429"/>
      <c r="J1321" s="429"/>
      <c r="K1321" s="429"/>
      <c r="L1321" s="429"/>
      <c r="M1321" s="429"/>
      <c r="N1321" s="429"/>
      <c r="O1321" s="429"/>
      <c r="P1321" s="429"/>
      <c r="Q1321" s="429"/>
      <c r="R1321" s="429"/>
    </row>
    <row r="1322" spans="1:18" ht="12.75">
      <c r="A1322" s="426" t="s">
        <v>2312</v>
      </c>
      <c r="B1322" s="427"/>
      <c r="C1322" s="427"/>
      <c r="D1322" s="427"/>
      <c r="E1322" s="427"/>
      <c r="F1322" s="427"/>
      <c r="G1322" s="427"/>
      <c r="H1322" s="427"/>
      <c r="I1322" s="427"/>
      <c r="J1322" s="427"/>
      <c r="K1322" s="427"/>
      <c r="L1322" s="427"/>
      <c r="M1322" s="427"/>
      <c r="N1322" s="427"/>
      <c r="O1322" s="427"/>
      <c r="P1322" s="427"/>
      <c r="Q1322" s="427"/>
      <c r="R1322" s="427"/>
    </row>
    <row r="1323" spans="1:18" ht="24">
      <c r="A1323" s="279">
        <v>62.198</v>
      </c>
      <c r="B1323" s="272" t="s">
        <v>2313</v>
      </c>
      <c r="C1323" s="280" t="s">
        <v>2314</v>
      </c>
      <c r="D1323" s="281">
        <v>612.4</v>
      </c>
      <c r="E1323" s="281">
        <v>89.14</v>
      </c>
      <c r="F1323" s="281">
        <v>1.25</v>
      </c>
      <c r="G1323" s="281">
        <v>522.01</v>
      </c>
      <c r="H1323" s="282">
        <v>2948.73</v>
      </c>
      <c r="I1323" s="282">
        <v>1163.24</v>
      </c>
      <c r="J1323" s="282">
        <v>6.08</v>
      </c>
      <c r="K1323" s="282">
        <v>1779.41</v>
      </c>
      <c r="L1323" s="357">
        <v>4.8150391900718486</v>
      </c>
      <c r="M1323" s="357">
        <v>13.05</v>
      </c>
      <c r="N1323" s="357">
        <v>4.8639999999999999</v>
      </c>
      <c r="O1323" s="357">
        <v>3.4087661155916558</v>
      </c>
      <c r="P1323" s="283"/>
      <c r="Q1323" s="283"/>
      <c r="R1323" s="283">
        <v>1</v>
      </c>
    </row>
    <row r="1324" spans="1:18" ht="24">
      <c r="A1324" s="279">
        <v>62.198999999999998</v>
      </c>
      <c r="B1324" s="272" t="s">
        <v>2315</v>
      </c>
      <c r="C1324" s="280" t="s">
        <v>2316</v>
      </c>
      <c r="D1324" s="281">
        <v>812.52</v>
      </c>
      <c r="E1324" s="281">
        <v>117.88</v>
      </c>
      <c r="F1324" s="281">
        <v>1.25</v>
      </c>
      <c r="G1324" s="281">
        <v>693.39</v>
      </c>
      <c r="H1324" s="282">
        <v>3923.35</v>
      </c>
      <c r="I1324" s="282">
        <v>1538.25</v>
      </c>
      <c r="J1324" s="282">
        <v>6.08</v>
      </c>
      <c r="K1324" s="282">
        <v>2379.02</v>
      </c>
      <c r="L1324" s="357">
        <v>4.8286196032097672</v>
      </c>
      <c r="M1324" s="357">
        <v>13.05</v>
      </c>
      <c r="N1324" s="357">
        <v>4.8639999999999999</v>
      </c>
      <c r="O1324" s="357">
        <v>3.430998428013095</v>
      </c>
      <c r="P1324" s="283"/>
      <c r="Q1324" s="283"/>
      <c r="R1324" s="283">
        <v>1</v>
      </c>
    </row>
    <row r="1325" spans="1:18" ht="12.75">
      <c r="A1325" s="426" t="s">
        <v>2317</v>
      </c>
      <c r="B1325" s="427"/>
      <c r="C1325" s="427"/>
      <c r="D1325" s="427"/>
      <c r="E1325" s="427"/>
      <c r="F1325" s="427"/>
      <c r="G1325" s="427"/>
      <c r="H1325" s="427"/>
      <c r="I1325" s="427"/>
      <c r="J1325" s="427"/>
      <c r="K1325" s="427"/>
      <c r="L1325" s="427"/>
      <c r="M1325" s="427"/>
      <c r="N1325" s="427"/>
      <c r="O1325" s="427"/>
      <c r="P1325" s="427"/>
      <c r="Q1325" s="427"/>
      <c r="R1325" s="427"/>
    </row>
    <row r="1326" spans="1:18" ht="36">
      <c r="A1326" s="279">
        <v>62.2</v>
      </c>
      <c r="B1326" s="272" t="s">
        <v>2318</v>
      </c>
      <c r="C1326" s="280" t="s">
        <v>2319</v>
      </c>
      <c r="D1326" s="281">
        <v>534.02</v>
      </c>
      <c r="E1326" s="281">
        <v>144</v>
      </c>
      <c r="F1326" s="281">
        <v>1.05</v>
      </c>
      <c r="G1326" s="281">
        <v>388.97</v>
      </c>
      <c r="H1326" s="282">
        <v>3721.88</v>
      </c>
      <c r="I1326" s="282">
        <v>1879.18</v>
      </c>
      <c r="J1326" s="282">
        <v>5.31</v>
      </c>
      <c r="K1326" s="282">
        <v>1837.39</v>
      </c>
      <c r="L1326" s="357">
        <v>6.9695517021834394</v>
      </c>
      <c r="M1326" s="357">
        <v>13.05</v>
      </c>
      <c r="N1326" s="357">
        <v>5.0571428571428569</v>
      </c>
      <c r="O1326" s="357">
        <v>4.723731907345039</v>
      </c>
      <c r="P1326" s="283"/>
      <c r="Q1326" s="283"/>
      <c r="R1326" s="283">
        <v>2</v>
      </c>
    </row>
    <row r="1327" spans="1:18" ht="36">
      <c r="A1327" s="279">
        <v>62.201000000000001</v>
      </c>
      <c r="B1327" s="272" t="s">
        <v>2320</v>
      </c>
      <c r="C1327" s="280" t="s">
        <v>2321</v>
      </c>
      <c r="D1327" s="281">
        <v>701.32</v>
      </c>
      <c r="E1327" s="281">
        <v>195.62</v>
      </c>
      <c r="F1327" s="281">
        <v>1.05</v>
      </c>
      <c r="G1327" s="281">
        <v>504.65</v>
      </c>
      <c r="H1327" s="282">
        <v>4839.66</v>
      </c>
      <c r="I1327" s="282">
        <v>2552.85</v>
      </c>
      <c r="J1327" s="282">
        <v>5.31</v>
      </c>
      <c r="K1327" s="282">
        <v>2281.5</v>
      </c>
      <c r="L1327" s="357">
        <v>6.9007870872069805</v>
      </c>
      <c r="M1327" s="357">
        <v>13.05</v>
      </c>
      <c r="N1327" s="357">
        <v>5.0571428571428569</v>
      </c>
      <c r="O1327" s="357">
        <v>4.5209551174081044</v>
      </c>
      <c r="P1327" s="283"/>
      <c r="Q1327" s="283"/>
      <c r="R1327" s="283">
        <v>2</v>
      </c>
    </row>
    <row r="1328" spans="1:18" ht="12.75">
      <c r="A1328" s="426" t="s">
        <v>2322</v>
      </c>
      <c r="B1328" s="427"/>
      <c r="C1328" s="427"/>
      <c r="D1328" s="427"/>
      <c r="E1328" s="427"/>
      <c r="F1328" s="427"/>
      <c r="G1328" s="427"/>
      <c r="H1328" s="427"/>
      <c r="I1328" s="427"/>
      <c r="J1328" s="427"/>
      <c r="K1328" s="427"/>
      <c r="L1328" s="427"/>
      <c r="M1328" s="427"/>
      <c r="N1328" s="427"/>
      <c r="O1328" s="427"/>
      <c r="P1328" s="427"/>
      <c r="Q1328" s="427"/>
      <c r="R1328" s="427"/>
    </row>
    <row r="1329" spans="1:18" ht="36">
      <c r="A1329" s="279">
        <v>62.201999999999998</v>
      </c>
      <c r="B1329" s="272" t="s">
        <v>2323</v>
      </c>
      <c r="C1329" s="280" t="s">
        <v>2324</v>
      </c>
      <c r="D1329" s="281">
        <v>781.68</v>
      </c>
      <c r="E1329" s="281">
        <v>370.28</v>
      </c>
      <c r="F1329" s="281">
        <v>1.25</v>
      </c>
      <c r="G1329" s="281">
        <v>410.15</v>
      </c>
      <c r="H1329" s="282">
        <v>6754.87</v>
      </c>
      <c r="I1329" s="282">
        <v>4832.32</v>
      </c>
      <c r="J1329" s="282">
        <v>6.08</v>
      </c>
      <c r="K1329" s="282">
        <v>1916.47</v>
      </c>
      <c r="L1329" s="357">
        <v>8.6414773308770858</v>
      </c>
      <c r="M1329" s="357">
        <v>13.05</v>
      </c>
      <c r="N1329" s="357">
        <v>4.8639999999999999</v>
      </c>
      <c r="O1329" s="357">
        <v>4.672607582591735</v>
      </c>
      <c r="P1329" s="283"/>
      <c r="Q1329" s="283"/>
      <c r="R1329" s="283">
        <v>3</v>
      </c>
    </row>
    <row r="1330" spans="1:18" ht="36">
      <c r="A1330" s="279">
        <v>62.203000000000003</v>
      </c>
      <c r="B1330" s="272" t="s">
        <v>2325</v>
      </c>
      <c r="C1330" s="280" t="s">
        <v>2326</v>
      </c>
      <c r="D1330" s="281">
        <v>853.72</v>
      </c>
      <c r="E1330" s="281">
        <v>442.52</v>
      </c>
      <c r="F1330" s="281">
        <v>1.05</v>
      </c>
      <c r="G1330" s="281">
        <v>410.15</v>
      </c>
      <c r="H1330" s="282">
        <v>7696.86</v>
      </c>
      <c r="I1330" s="282">
        <v>5775.08</v>
      </c>
      <c r="J1330" s="282">
        <v>5.31</v>
      </c>
      <c r="K1330" s="282">
        <v>1916.47</v>
      </c>
      <c r="L1330" s="357">
        <v>9.0156725858595319</v>
      </c>
      <c r="M1330" s="357">
        <v>13.05</v>
      </c>
      <c r="N1330" s="357">
        <v>5.0571428571428569</v>
      </c>
      <c r="O1330" s="357">
        <v>4.672607582591735</v>
      </c>
      <c r="P1330" s="283"/>
      <c r="Q1330" s="283"/>
      <c r="R1330" s="283">
        <v>3</v>
      </c>
    </row>
    <row r="1331" spans="1:18" ht="36">
      <c r="A1331" s="279">
        <v>62.204000000000001</v>
      </c>
      <c r="B1331" s="272" t="s">
        <v>2327</v>
      </c>
      <c r="C1331" s="280" t="s">
        <v>2328</v>
      </c>
      <c r="D1331" s="281">
        <v>838.24</v>
      </c>
      <c r="E1331" s="281">
        <v>427.04</v>
      </c>
      <c r="F1331" s="281">
        <v>1.05</v>
      </c>
      <c r="G1331" s="281">
        <v>410.15</v>
      </c>
      <c r="H1331" s="282">
        <v>7494.84</v>
      </c>
      <c r="I1331" s="282">
        <v>5573.06</v>
      </c>
      <c r="J1331" s="282">
        <v>5.31</v>
      </c>
      <c r="K1331" s="282">
        <v>1916.47</v>
      </c>
      <c r="L1331" s="357">
        <v>8.9411624355793098</v>
      </c>
      <c r="M1331" s="357">
        <v>13.05</v>
      </c>
      <c r="N1331" s="357">
        <v>5.0571428571428569</v>
      </c>
      <c r="O1331" s="357">
        <v>4.672607582591735</v>
      </c>
      <c r="P1331" s="283"/>
      <c r="Q1331" s="283"/>
      <c r="R1331" s="283">
        <v>3</v>
      </c>
    </row>
    <row r="1332" spans="1:18" ht="36">
      <c r="A1332" s="279">
        <v>62.204999999999998</v>
      </c>
      <c r="B1332" s="272" t="s">
        <v>2329</v>
      </c>
      <c r="C1332" s="280" t="s">
        <v>2330</v>
      </c>
      <c r="D1332" s="281">
        <v>1023.11</v>
      </c>
      <c r="E1332" s="281">
        <v>502.38</v>
      </c>
      <c r="F1332" s="281">
        <v>1.25</v>
      </c>
      <c r="G1332" s="281">
        <v>519.48</v>
      </c>
      <c r="H1332" s="282">
        <v>8899.16</v>
      </c>
      <c r="I1332" s="282">
        <v>6556.22</v>
      </c>
      <c r="J1332" s="282">
        <v>6.08</v>
      </c>
      <c r="K1332" s="282">
        <v>2336.86</v>
      </c>
      <c r="L1332" s="357">
        <v>8.6981458494199053</v>
      </c>
      <c r="M1332" s="357">
        <v>13.05</v>
      </c>
      <c r="N1332" s="357">
        <v>4.8639999999999999</v>
      </c>
      <c r="O1332" s="357">
        <v>4.4984599984599987</v>
      </c>
      <c r="P1332" s="283"/>
      <c r="Q1332" s="283"/>
      <c r="R1332" s="283">
        <v>3</v>
      </c>
    </row>
    <row r="1333" spans="1:18" ht="36">
      <c r="A1333" s="279">
        <v>62.206000000000003</v>
      </c>
      <c r="B1333" s="272" t="s">
        <v>2331</v>
      </c>
      <c r="C1333" s="280" t="s">
        <v>2332</v>
      </c>
      <c r="D1333" s="281">
        <v>1145.3</v>
      </c>
      <c r="E1333" s="281">
        <v>624.77</v>
      </c>
      <c r="F1333" s="281">
        <v>1.05</v>
      </c>
      <c r="G1333" s="281">
        <v>519.48</v>
      </c>
      <c r="H1333" s="282">
        <v>10495.7</v>
      </c>
      <c r="I1333" s="282">
        <v>8153.53</v>
      </c>
      <c r="J1333" s="282">
        <v>5.31</v>
      </c>
      <c r="K1333" s="282">
        <v>2336.86</v>
      </c>
      <c r="L1333" s="357">
        <v>9.1641491312319925</v>
      </c>
      <c r="M1333" s="357">
        <v>13.05</v>
      </c>
      <c r="N1333" s="357">
        <v>5.0571428571428569</v>
      </c>
      <c r="O1333" s="357">
        <v>4.4984599984599987</v>
      </c>
      <c r="P1333" s="283"/>
      <c r="Q1333" s="283"/>
      <c r="R1333" s="283">
        <v>3</v>
      </c>
    </row>
    <row r="1334" spans="1:18" ht="36">
      <c r="A1334" s="279">
        <v>62.207000000000001</v>
      </c>
      <c r="B1334" s="272" t="s">
        <v>2333</v>
      </c>
      <c r="C1334" s="280" t="s">
        <v>2334</v>
      </c>
      <c r="D1334" s="281">
        <v>1120.53</v>
      </c>
      <c r="E1334" s="281">
        <v>600</v>
      </c>
      <c r="F1334" s="281">
        <v>1.05</v>
      </c>
      <c r="G1334" s="281">
        <v>519.48</v>
      </c>
      <c r="H1334" s="282">
        <v>10172.469999999999</v>
      </c>
      <c r="I1334" s="282">
        <v>7830.3</v>
      </c>
      <c r="J1334" s="282">
        <v>5.31</v>
      </c>
      <c r="K1334" s="282">
        <v>2336.86</v>
      </c>
      <c r="L1334" s="357">
        <v>9.0782665345863123</v>
      </c>
      <c r="M1334" s="357">
        <v>13.05</v>
      </c>
      <c r="N1334" s="357">
        <v>5.0571428571428569</v>
      </c>
      <c r="O1334" s="357">
        <v>4.4984599984599987</v>
      </c>
      <c r="P1334" s="283"/>
      <c r="Q1334" s="283"/>
      <c r="R1334" s="283">
        <v>3</v>
      </c>
    </row>
    <row r="1335" spans="1:18" ht="12.75">
      <c r="A1335" s="426" t="s">
        <v>2335</v>
      </c>
      <c r="B1335" s="427"/>
      <c r="C1335" s="427"/>
      <c r="D1335" s="427"/>
      <c r="E1335" s="427"/>
      <c r="F1335" s="427"/>
      <c r="G1335" s="427"/>
      <c r="H1335" s="427"/>
      <c r="I1335" s="427"/>
      <c r="J1335" s="427"/>
      <c r="K1335" s="427"/>
      <c r="L1335" s="427"/>
      <c r="M1335" s="427"/>
      <c r="N1335" s="427"/>
      <c r="O1335" s="427"/>
      <c r="P1335" s="427"/>
      <c r="Q1335" s="427"/>
      <c r="R1335" s="427"/>
    </row>
    <row r="1336" spans="1:18" ht="72">
      <c r="A1336" s="279">
        <v>62.207999999999998</v>
      </c>
      <c r="B1336" s="272" t="s">
        <v>2336</v>
      </c>
      <c r="C1336" s="280" t="s">
        <v>2337</v>
      </c>
      <c r="D1336" s="281">
        <v>701.99</v>
      </c>
      <c r="E1336" s="281">
        <v>174.1</v>
      </c>
      <c r="F1336" s="281">
        <v>1.25</v>
      </c>
      <c r="G1336" s="281">
        <v>526.64</v>
      </c>
      <c r="H1336" s="282">
        <v>4088.89</v>
      </c>
      <c r="I1336" s="282">
        <v>2272.0500000000002</v>
      </c>
      <c r="J1336" s="282">
        <v>6.08</v>
      </c>
      <c r="K1336" s="282">
        <v>1810.76</v>
      </c>
      <c r="L1336" s="357">
        <v>5.8247126027436282</v>
      </c>
      <c r="M1336" s="357">
        <v>13.05</v>
      </c>
      <c r="N1336" s="357">
        <v>4.8639999999999999</v>
      </c>
      <c r="O1336" s="357">
        <v>3.4383259911894273</v>
      </c>
      <c r="P1336" s="283"/>
      <c r="Q1336" s="283"/>
      <c r="R1336" s="283">
        <v>4</v>
      </c>
    </row>
    <row r="1337" spans="1:18" ht="72">
      <c r="A1337" s="279">
        <v>62.209000000000003</v>
      </c>
      <c r="B1337" s="272" t="s">
        <v>2338</v>
      </c>
      <c r="C1337" s="280" t="s">
        <v>2339</v>
      </c>
      <c r="D1337" s="281">
        <v>832.44</v>
      </c>
      <c r="E1337" s="281">
        <v>304.75</v>
      </c>
      <c r="F1337" s="281">
        <v>1.05</v>
      </c>
      <c r="G1337" s="281">
        <v>526.64</v>
      </c>
      <c r="H1337" s="282">
        <v>5793.17</v>
      </c>
      <c r="I1337" s="282">
        <v>3977.1</v>
      </c>
      <c r="J1337" s="282">
        <v>5.31</v>
      </c>
      <c r="K1337" s="282">
        <v>1810.76</v>
      </c>
      <c r="L1337" s="357">
        <v>6.9592643313632214</v>
      </c>
      <c r="M1337" s="357">
        <v>13.05</v>
      </c>
      <c r="N1337" s="357">
        <v>5.0571428571428569</v>
      </c>
      <c r="O1337" s="357">
        <v>3.4383259911894273</v>
      </c>
      <c r="P1337" s="283"/>
      <c r="Q1337" s="283"/>
      <c r="R1337" s="283">
        <v>4</v>
      </c>
    </row>
    <row r="1338" spans="1:18" ht="72">
      <c r="A1338" s="279">
        <v>62.21</v>
      </c>
      <c r="B1338" s="272" t="s">
        <v>2340</v>
      </c>
      <c r="C1338" s="280" t="s">
        <v>2341</v>
      </c>
      <c r="D1338" s="281">
        <v>907.67</v>
      </c>
      <c r="E1338" s="281">
        <v>379.98</v>
      </c>
      <c r="F1338" s="281">
        <v>1.05</v>
      </c>
      <c r="G1338" s="281">
        <v>526.64</v>
      </c>
      <c r="H1338" s="282">
        <v>6774.99</v>
      </c>
      <c r="I1338" s="282">
        <v>4958.92</v>
      </c>
      <c r="J1338" s="282">
        <v>5.31</v>
      </c>
      <c r="K1338" s="282">
        <v>1810.76</v>
      </c>
      <c r="L1338" s="357">
        <v>7.4641554750074368</v>
      </c>
      <c r="M1338" s="357">
        <v>13.05</v>
      </c>
      <c r="N1338" s="357">
        <v>5.0571428571428569</v>
      </c>
      <c r="O1338" s="357">
        <v>3.4383259911894273</v>
      </c>
      <c r="P1338" s="283"/>
      <c r="Q1338" s="283"/>
      <c r="R1338" s="283">
        <v>4</v>
      </c>
    </row>
    <row r="1339" spans="1:18" ht="72">
      <c r="A1339" s="279">
        <v>62.210999999999999</v>
      </c>
      <c r="B1339" s="272" t="s">
        <v>2342</v>
      </c>
      <c r="C1339" s="280" t="s">
        <v>2343</v>
      </c>
      <c r="D1339" s="281">
        <v>857.21</v>
      </c>
      <c r="E1339" s="281">
        <v>214.14</v>
      </c>
      <c r="F1339" s="281">
        <v>1.25</v>
      </c>
      <c r="G1339" s="281">
        <v>641.82000000000005</v>
      </c>
      <c r="H1339" s="282">
        <v>5036.3599999999997</v>
      </c>
      <c r="I1339" s="282">
        <v>2794.61</v>
      </c>
      <c r="J1339" s="282">
        <v>6.08</v>
      </c>
      <c r="K1339" s="282">
        <v>2235.67</v>
      </c>
      <c r="L1339" s="357">
        <v>5.8752931020403398</v>
      </c>
      <c r="M1339" s="357">
        <v>13.05</v>
      </c>
      <c r="N1339" s="357">
        <v>4.8639999999999999</v>
      </c>
      <c r="O1339" s="357">
        <v>3.4833286591256112</v>
      </c>
      <c r="P1339" s="283"/>
      <c r="Q1339" s="283"/>
      <c r="R1339" s="283">
        <v>4</v>
      </c>
    </row>
    <row r="1340" spans="1:18" ht="72">
      <c r="A1340" s="279">
        <v>62.212000000000003</v>
      </c>
      <c r="B1340" s="272" t="s">
        <v>2344</v>
      </c>
      <c r="C1340" s="280" t="s">
        <v>2345</v>
      </c>
      <c r="D1340" s="281">
        <v>1007.58</v>
      </c>
      <c r="E1340" s="281">
        <v>364.71</v>
      </c>
      <c r="F1340" s="281">
        <v>1.05</v>
      </c>
      <c r="G1340" s="281">
        <v>641.82000000000005</v>
      </c>
      <c r="H1340" s="282">
        <v>7000.57</v>
      </c>
      <c r="I1340" s="282">
        <v>4759.59</v>
      </c>
      <c r="J1340" s="282">
        <v>5.31</v>
      </c>
      <c r="K1340" s="282">
        <v>2235.67</v>
      </c>
      <c r="L1340" s="357">
        <v>6.9479048810020041</v>
      </c>
      <c r="M1340" s="357">
        <v>13.05</v>
      </c>
      <c r="N1340" s="357">
        <v>5.0571428571428569</v>
      </c>
      <c r="O1340" s="357">
        <v>3.4833286591256112</v>
      </c>
      <c r="P1340" s="283"/>
      <c r="Q1340" s="283"/>
      <c r="R1340" s="283">
        <v>4</v>
      </c>
    </row>
    <row r="1341" spans="1:18" ht="72">
      <c r="A1341" s="279">
        <v>62.213000000000001</v>
      </c>
      <c r="B1341" s="272" t="s">
        <v>2346</v>
      </c>
      <c r="C1341" s="280" t="s">
        <v>2347</v>
      </c>
      <c r="D1341" s="281">
        <v>1098.19</v>
      </c>
      <c r="E1341" s="281">
        <v>455.32</v>
      </c>
      <c r="F1341" s="281">
        <v>1.05</v>
      </c>
      <c r="G1341" s="281">
        <v>641.82000000000005</v>
      </c>
      <c r="H1341" s="282">
        <v>8183.06</v>
      </c>
      <c r="I1341" s="282">
        <v>5942.08</v>
      </c>
      <c r="J1341" s="282">
        <v>5.31</v>
      </c>
      <c r="K1341" s="282">
        <v>2235.67</v>
      </c>
      <c r="L1341" s="357">
        <v>7.4514064050847306</v>
      </c>
      <c r="M1341" s="357">
        <v>13.05</v>
      </c>
      <c r="N1341" s="357">
        <v>5.0571428571428569</v>
      </c>
      <c r="O1341" s="357">
        <v>3.4833286591256112</v>
      </c>
      <c r="P1341" s="283"/>
      <c r="Q1341" s="283"/>
      <c r="R1341" s="283">
        <v>4</v>
      </c>
    </row>
    <row r="1342" spans="1:18" ht="12.75">
      <c r="A1342" s="426" t="s">
        <v>2348</v>
      </c>
      <c r="B1342" s="427"/>
      <c r="C1342" s="427"/>
      <c r="D1342" s="427"/>
      <c r="E1342" s="427"/>
      <c r="F1342" s="427"/>
      <c r="G1342" s="427"/>
      <c r="H1342" s="427"/>
      <c r="I1342" s="427"/>
      <c r="J1342" s="427"/>
      <c r="K1342" s="427"/>
      <c r="L1342" s="427"/>
      <c r="M1342" s="427"/>
      <c r="N1342" s="427"/>
      <c r="O1342" s="427"/>
      <c r="P1342" s="427"/>
      <c r="Q1342" s="427"/>
      <c r="R1342" s="427"/>
    </row>
    <row r="1343" spans="1:18" ht="36">
      <c r="A1343" s="279">
        <v>62.213999999999999</v>
      </c>
      <c r="B1343" s="272" t="s">
        <v>2349</v>
      </c>
      <c r="C1343" s="280" t="s">
        <v>2350</v>
      </c>
      <c r="D1343" s="281">
        <v>1128.94</v>
      </c>
      <c r="E1343" s="281">
        <v>606.16999999999996</v>
      </c>
      <c r="F1343" s="281">
        <v>1.05</v>
      </c>
      <c r="G1343" s="281">
        <v>521.72</v>
      </c>
      <c r="H1343" s="282">
        <v>9612.15</v>
      </c>
      <c r="I1343" s="282">
        <v>7910.27</v>
      </c>
      <c r="J1343" s="282">
        <v>5.31</v>
      </c>
      <c r="K1343" s="282">
        <v>1696.57</v>
      </c>
      <c r="L1343" s="357">
        <v>8.5143143125409662</v>
      </c>
      <c r="M1343" s="357">
        <v>13.05</v>
      </c>
      <c r="N1343" s="357">
        <v>5.0571428571428569</v>
      </c>
      <c r="O1343" s="357">
        <v>3.2518784022080807</v>
      </c>
      <c r="P1343" s="283"/>
      <c r="Q1343" s="283"/>
      <c r="R1343" s="283">
        <v>5</v>
      </c>
    </row>
    <row r="1344" spans="1:18" ht="36">
      <c r="A1344" s="279">
        <v>62.215000000000003</v>
      </c>
      <c r="B1344" s="272" t="s">
        <v>2351</v>
      </c>
      <c r="C1344" s="280" t="s">
        <v>2352</v>
      </c>
      <c r="D1344" s="281">
        <v>1424.21</v>
      </c>
      <c r="E1344" s="281">
        <v>778.6</v>
      </c>
      <c r="F1344" s="281">
        <v>1.05</v>
      </c>
      <c r="G1344" s="281">
        <v>644.55999999999995</v>
      </c>
      <c r="H1344" s="282">
        <v>12311.1</v>
      </c>
      <c r="I1344" s="282">
        <v>10160.44</v>
      </c>
      <c r="J1344" s="282">
        <v>5.31</v>
      </c>
      <c r="K1344" s="282">
        <v>2145.35</v>
      </c>
      <c r="L1344" s="357">
        <v>8.6441606223801273</v>
      </c>
      <c r="M1344" s="357">
        <v>13.05</v>
      </c>
      <c r="N1344" s="357">
        <v>5.0571428571428569</v>
      </c>
      <c r="O1344" s="357">
        <v>3.3283945637333998</v>
      </c>
      <c r="P1344" s="283"/>
      <c r="Q1344" s="283"/>
      <c r="R1344" s="283">
        <v>5</v>
      </c>
    </row>
    <row r="1345" spans="1:18" ht="24">
      <c r="A1345" s="279">
        <v>62.216000000000001</v>
      </c>
      <c r="B1345" s="272" t="s">
        <v>2353</v>
      </c>
      <c r="C1345" s="280" t="s">
        <v>2354</v>
      </c>
      <c r="D1345" s="281">
        <v>954.77</v>
      </c>
      <c r="E1345" s="281">
        <v>432</v>
      </c>
      <c r="F1345" s="281">
        <v>1.05</v>
      </c>
      <c r="G1345" s="281">
        <v>521.72</v>
      </c>
      <c r="H1345" s="282">
        <v>7339.28</v>
      </c>
      <c r="I1345" s="282">
        <v>5637.4</v>
      </c>
      <c r="J1345" s="282">
        <v>5.31</v>
      </c>
      <c r="K1345" s="282">
        <v>1696.57</v>
      </c>
      <c r="L1345" s="357">
        <v>7.6869612576850965</v>
      </c>
      <c r="M1345" s="357">
        <v>13.05</v>
      </c>
      <c r="N1345" s="357">
        <v>5.0571428571428569</v>
      </c>
      <c r="O1345" s="357">
        <v>3.2518784022080807</v>
      </c>
      <c r="P1345" s="283"/>
      <c r="Q1345" s="283"/>
      <c r="R1345" s="283">
        <v>5</v>
      </c>
    </row>
    <row r="1346" spans="1:18" ht="36">
      <c r="A1346" s="279">
        <v>62.216999999999999</v>
      </c>
      <c r="B1346" s="272" t="s">
        <v>2355</v>
      </c>
      <c r="C1346" s="280" t="s">
        <v>2356</v>
      </c>
      <c r="D1346" s="281">
        <v>1140.4000000000001</v>
      </c>
      <c r="E1346" s="281">
        <v>494.79</v>
      </c>
      <c r="F1346" s="281">
        <v>1.05</v>
      </c>
      <c r="G1346" s="281">
        <v>644.55999999999995</v>
      </c>
      <c r="H1346" s="282">
        <v>8607.4500000000007</v>
      </c>
      <c r="I1346" s="282">
        <v>6456.79</v>
      </c>
      <c r="J1346" s="282">
        <v>5.31</v>
      </c>
      <c r="K1346" s="282">
        <v>2145.35</v>
      </c>
      <c r="L1346" s="357">
        <v>7.5477464047702565</v>
      </c>
      <c r="M1346" s="357">
        <v>13.05</v>
      </c>
      <c r="N1346" s="357">
        <v>5.0571428571428569</v>
      </c>
      <c r="O1346" s="357">
        <v>3.3283945637333998</v>
      </c>
      <c r="P1346" s="283"/>
      <c r="Q1346" s="283"/>
      <c r="R1346" s="283">
        <v>5</v>
      </c>
    </row>
    <row r="1347" spans="1:18" ht="12.75">
      <c r="A1347" s="426" t="s">
        <v>2357</v>
      </c>
      <c r="B1347" s="427"/>
      <c r="C1347" s="427"/>
      <c r="D1347" s="427"/>
      <c r="E1347" s="427"/>
      <c r="F1347" s="427"/>
      <c r="G1347" s="427"/>
      <c r="H1347" s="427"/>
      <c r="I1347" s="427"/>
      <c r="J1347" s="427"/>
      <c r="K1347" s="427"/>
      <c r="L1347" s="427"/>
      <c r="M1347" s="427"/>
      <c r="N1347" s="427"/>
      <c r="O1347" s="427"/>
      <c r="P1347" s="427"/>
      <c r="Q1347" s="427"/>
      <c r="R1347" s="427"/>
    </row>
    <row r="1348" spans="1:18" ht="36">
      <c r="A1348" s="279">
        <v>62.218000000000004</v>
      </c>
      <c r="B1348" s="272" t="s">
        <v>2358</v>
      </c>
      <c r="C1348" s="280" t="s">
        <v>2359</v>
      </c>
      <c r="D1348" s="281">
        <v>1045.48</v>
      </c>
      <c r="E1348" s="281">
        <v>522.71</v>
      </c>
      <c r="F1348" s="281">
        <v>1.05</v>
      </c>
      <c r="G1348" s="281">
        <v>521.72</v>
      </c>
      <c r="H1348" s="282">
        <v>8523.11</v>
      </c>
      <c r="I1348" s="282">
        <v>6821.23</v>
      </c>
      <c r="J1348" s="282">
        <v>5.31</v>
      </c>
      <c r="K1348" s="282">
        <v>1696.57</v>
      </c>
      <c r="L1348" s="357">
        <v>8.1523415082067565</v>
      </c>
      <c r="M1348" s="357">
        <v>13.05</v>
      </c>
      <c r="N1348" s="357">
        <v>5.0571428571428569</v>
      </c>
      <c r="O1348" s="357">
        <v>3.2518784022080807</v>
      </c>
      <c r="P1348" s="283"/>
      <c r="Q1348" s="283"/>
      <c r="R1348" s="283">
        <v>6</v>
      </c>
    </row>
    <row r="1349" spans="1:18" ht="36">
      <c r="A1349" s="279">
        <v>62.219000000000001</v>
      </c>
      <c r="B1349" s="272" t="s">
        <v>2360</v>
      </c>
      <c r="C1349" s="280" t="s">
        <v>2361</v>
      </c>
      <c r="D1349" s="281">
        <v>1334.68</v>
      </c>
      <c r="E1349" s="281">
        <v>689.07</v>
      </c>
      <c r="F1349" s="281">
        <v>1.05</v>
      </c>
      <c r="G1349" s="281">
        <v>644.55999999999995</v>
      </c>
      <c r="H1349" s="282">
        <v>11142.9</v>
      </c>
      <c r="I1349" s="282">
        <v>8992.24</v>
      </c>
      <c r="J1349" s="282">
        <v>5.31</v>
      </c>
      <c r="K1349" s="282">
        <v>2145.35</v>
      </c>
      <c r="L1349" s="357">
        <v>8.3487427698024987</v>
      </c>
      <c r="M1349" s="357">
        <v>13.05</v>
      </c>
      <c r="N1349" s="357">
        <v>5.0571428571428569</v>
      </c>
      <c r="O1349" s="357">
        <v>3.3283945637333998</v>
      </c>
      <c r="P1349" s="283"/>
      <c r="Q1349" s="283"/>
      <c r="R1349" s="283">
        <v>6</v>
      </c>
    </row>
    <row r="1350" spans="1:18" ht="12.75">
      <c r="A1350" s="426" t="s">
        <v>2362</v>
      </c>
      <c r="B1350" s="427"/>
      <c r="C1350" s="427"/>
      <c r="D1350" s="427"/>
      <c r="E1350" s="427"/>
      <c r="F1350" s="427"/>
      <c r="G1350" s="427"/>
      <c r="H1350" s="427"/>
      <c r="I1350" s="427"/>
      <c r="J1350" s="427"/>
      <c r="K1350" s="427"/>
      <c r="L1350" s="427"/>
      <c r="M1350" s="427"/>
      <c r="N1350" s="427"/>
      <c r="O1350" s="427"/>
      <c r="P1350" s="427"/>
      <c r="Q1350" s="427"/>
      <c r="R1350" s="427"/>
    </row>
    <row r="1351" spans="1:18" ht="60">
      <c r="A1351" s="279">
        <v>62.22</v>
      </c>
      <c r="B1351" s="272" t="s">
        <v>2363</v>
      </c>
      <c r="C1351" s="280" t="s">
        <v>2364</v>
      </c>
      <c r="D1351" s="281">
        <v>1156.1300000000001</v>
      </c>
      <c r="E1351" s="281">
        <v>609.36</v>
      </c>
      <c r="F1351" s="281">
        <v>1.05</v>
      </c>
      <c r="G1351" s="281">
        <v>545.72</v>
      </c>
      <c r="H1351" s="282">
        <v>9742.0499999999993</v>
      </c>
      <c r="I1351" s="282">
        <v>7952.2</v>
      </c>
      <c r="J1351" s="282">
        <v>5.31</v>
      </c>
      <c r="K1351" s="282">
        <v>1784.54</v>
      </c>
      <c r="L1351" s="357">
        <v>8.4264312836791699</v>
      </c>
      <c r="M1351" s="357">
        <v>13.05</v>
      </c>
      <c r="N1351" s="357">
        <v>5.0571428571428569</v>
      </c>
      <c r="O1351" s="357">
        <v>3.2700652349190058</v>
      </c>
      <c r="P1351" s="283"/>
      <c r="Q1351" s="283"/>
      <c r="R1351" s="283">
        <v>7</v>
      </c>
    </row>
    <row r="1352" spans="1:18" ht="60">
      <c r="A1352" s="279">
        <v>62.220999999999997</v>
      </c>
      <c r="B1352" s="272" t="s">
        <v>2365</v>
      </c>
      <c r="C1352" s="280" t="s">
        <v>2366</v>
      </c>
      <c r="D1352" s="281">
        <v>1458.96</v>
      </c>
      <c r="E1352" s="281">
        <v>792.17</v>
      </c>
      <c r="F1352" s="281">
        <v>1.05</v>
      </c>
      <c r="G1352" s="281">
        <v>665.74</v>
      </c>
      <c r="H1352" s="282">
        <v>12567.61</v>
      </c>
      <c r="I1352" s="282">
        <v>10337.870000000001</v>
      </c>
      <c r="J1352" s="282">
        <v>5.31</v>
      </c>
      <c r="K1352" s="282">
        <v>2224.4299999999998</v>
      </c>
      <c r="L1352" s="357">
        <v>8.6140881175631954</v>
      </c>
      <c r="M1352" s="357">
        <v>13.05</v>
      </c>
      <c r="N1352" s="357">
        <v>5.0571428571428569</v>
      </c>
      <c r="O1352" s="357">
        <v>3.3412893922552347</v>
      </c>
      <c r="P1352" s="283"/>
      <c r="Q1352" s="283"/>
      <c r="R1352" s="283">
        <v>7</v>
      </c>
    </row>
    <row r="1353" spans="1:18" ht="12.75">
      <c r="A1353" s="426" t="s">
        <v>2367</v>
      </c>
      <c r="B1353" s="427"/>
      <c r="C1353" s="427"/>
      <c r="D1353" s="427"/>
      <c r="E1353" s="427"/>
      <c r="F1353" s="427"/>
      <c r="G1353" s="427"/>
      <c r="H1353" s="427"/>
      <c r="I1353" s="427"/>
      <c r="J1353" s="427"/>
      <c r="K1353" s="427"/>
      <c r="L1353" s="427"/>
      <c r="M1353" s="427"/>
      <c r="N1353" s="427"/>
      <c r="O1353" s="427"/>
      <c r="P1353" s="427"/>
      <c r="Q1353" s="427"/>
      <c r="R1353" s="427"/>
    </row>
    <row r="1354" spans="1:18" ht="36">
      <c r="A1354" s="279">
        <v>62.222000000000001</v>
      </c>
      <c r="B1354" s="272" t="s">
        <v>2368</v>
      </c>
      <c r="C1354" s="280" t="s">
        <v>2369</v>
      </c>
      <c r="D1354" s="281">
        <v>945.79</v>
      </c>
      <c r="E1354" s="281">
        <v>647.58000000000004</v>
      </c>
      <c r="F1354" s="281">
        <v>1.05</v>
      </c>
      <c r="G1354" s="281">
        <v>297.16000000000003</v>
      </c>
      <c r="H1354" s="282">
        <v>9412.31</v>
      </c>
      <c r="I1354" s="282">
        <v>8451.17</v>
      </c>
      <c r="J1354" s="282">
        <v>5.31</v>
      </c>
      <c r="K1354" s="282">
        <v>955.83</v>
      </c>
      <c r="L1354" s="357">
        <v>9.9517969105192474</v>
      </c>
      <c r="M1354" s="357">
        <v>13.05</v>
      </c>
      <c r="N1354" s="357">
        <v>5.0571428571428569</v>
      </c>
      <c r="O1354" s="357">
        <v>3.2165500067303809</v>
      </c>
      <c r="P1354" s="283"/>
      <c r="Q1354" s="283"/>
      <c r="R1354" s="283">
        <v>8</v>
      </c>
    </row>
    <row r="1355" spans="1:18" ht="36">
      <c r="A1355" s="279">
        <v>62.222999999999999</v>
      </c>
      <c r="B1355" s="272" t="s">
        <v>2370</v>
      </c>
      <c r="C1355" s="280" t="s">
        <v>2371</v>
      </c>
      <c r="D1355" s="281">
        <v>1249.43</v>
      </c>
      <c r="E1355" s="281">
        <v>833.13</v>
      </c>
      <c r="F1355" s="281">
        <v>1.05</v>
      </c>
      <c r="G1355" s="281">
        <v>415.25</v>
      </c>
      <c r="H1355" s="282">
        <v>12252.55</v>
      </c>
      <c r="I1355" s="282">
        <v>10872.72</v>
      </c>
      <c r="J1355" s="282">
        <v>5.31</v>
      </c>
      <c r="K1355" s="282">
        <v>1374.52</v>
      </c>
      <c r="L1355" s="357">
        <v>9.8065117693668302</v>
      </c>
      <c r="M1355" s="357">
        <v>13.05</v>
      </c>
      <c r="N1355" s="357">
        <v>5.0571428571428569</v>
      </c>
      <c r="O1355" s="357">
        <v>3.3101023479831428</v>
      </c>
      <c r="P1355" s="283"/>
      <c r="Q1355" s="283"/>
      <c r="R1355" s="283">
        <v>8</v>
      </c>
    </row>
    <row r="1356" spans="1:18" ht="36">
      <c r="A1356" s="279">
        <v>62.223999999999997</v>
      </c>
      <c r="B1356" s="272" t="s">
        <v>2372</v>
      </c>
      <c r="C1356" s="280" t="s">
        <v>2373</v>
      </c>
      <c r="D1356" s="281">
        <v>1484.11</v>
      </c>
      <c r="E1356" s="281">
        <v>807.33</v>
      </c>
      <c r="F1356" s="281">
        <v>1.05</v>
      </c>
      <c r="G1356" s="281">
        <v>675.73</v>
      </c>
      <c r="H1356" s="282">
        <v>12729.4</v>
      </c>
      <c r="I1356" s="282">
        <v>10536.02</v>
      </c>
      <c r="J1356" s="282">
        <v>5.31</v>
      </c>
      <c r="K1356" s="282">
        <v>2188.0700000000002</v>
      </c>
      <c r="L1356" s="357">
        <v>8.5771270323628297</v>
      </c>
      <c r="M1356" s="357">
        <v>13.05</v>
      </c>
      <c r="N1356" s="357">
        <v>5.0571428571428569</v>
      </c>
      <c r="O1356" s="357">
        <v>3.2380832581060486</v>
      </c>
      <c r="P1356" s="283"/>
      <c r="Q1356" s="283"/>
      <c r="R1356" s="283">
        <v>8</v>
      </c>
    </row>
    <row r="1357" spans="1:18" ht="36">
      <c r="A1357" s="279">
        <v>62.225000000000001</v>
      </c>
      <c r="B1357" s="272" t="s">
        <v>2374</v>
      </c>
      <c r="C1357" s="280" t="s">
        <v>2375</v>
      </c>
      <c r="D1357" s="281">
        <v>2028.67</v>
      </c>
      <c r="E1357" s="281">
        <v>1039.22</v>
      </c>
      <c r="F1357" s="281">
        <v>1.05</v>
      </c>
      <c r="G1357" s="281">
        <v>988.4</v>
      </c>
      <c r="H1357" s="282">
        <v>16827.82</v>
      </c>
      <c r="I1357" s="282">
        <v>13562.28</v>
      </c>
      <c r="J1357" s="282">
        <v>5.31</v>
      </c>
      <c r="K1357" s="282">
        <v>3260.23</v>
      </c>
      <c r="L1357" s="357">
        <v>8.295001158394415</v>
      </c>
      <c r="M1357" s="357">
        <v>13.05</v>
      </c>
      <c r="N1357" s="357">
        <v>5.0571428571428569</v>
      </c>
      <c r="O1357" s="357">
        <v>3.2984925131525697</v>
      </c>
      <c r="P1357" s="283"/>
      <c r="Q1357" s="283"/>
      <c r="R1357" s="283">
        <v>8</v>
      </c>
    </row>
    <row r="1358" spans="1:18" ht="36">
      <c r="A1358" s="279">
        <v>62.225999999999999</v>
      </c>
      <c r="B1358" s="272" t="s">
        <v>2376</v>
      </c>
      <c r="C1358" s="280" t="s">
        <v>2377</v>
      </c>
      <c r="D1358" s="281">
        <v>899.41</v>
      </c>
      <c r="E1358" s="281">
        <v>492.66</v>
      </c>
      <c r="F1358" s="281">
        <v>1.05</v>
      </c>
      <c r="G1358" s="281">
        <v>405.7</v>
      </c>
      <c r="H1358" s="282">
        <v>8643.4</v>
      </c>
      <c r="I1358" s="282">
        <v>6429.06</v>
      </c>
      <c r="J1358" s="282">
        <v>5.31</v>
      </c>
      <c r="K1358" s="282">
        <v>2209.0300000000002</v>
      </c>
      <c r="L1358" s="357">
        <v>9.6100777176148799</v>
      </c>
      <c r="M1358" s="357">
        <v>13.05</v>
      </c>
      <c r="N1358" s="357">
        <v>5.0571428571428569</v>
      </c>
      <c r="O1358" s="357">
        <v>5.4449839783090956</v>
      </c>
      <c r="P1358" s="283"/>
      <c r="Q1358" s="283"/>
      <c r="R1358" s="283">
        <v>8</v>
      </c>
    </row>
    <row r="1359" spans="1:18" ht="24">
      <c r="A1359" s="279">
        <v>62.226999999999997</v>
      </c>
      <c r="B1359" s="272" t="s">
        <v>2378</v>
      </c>
      <c r="C1359" s="280" t="s">
        <v>2379</v>
      </c>
      <c r="D1359" s="281">
        <v>431.54</v>
      </c>
      <c r="E1359" s="281">
        <v>165.33</v>
      </c>
      <c r="F1359" s="281">
        <v>1.05</v>
      </c>
      <c r="G1359" s="281">
        <v>265.16000000000003</v>
      </c>
      <c r="H1359" s="282">
        <v>3602.55</v>
      </c>
      <c r="I1359" s="282">
        <v>2157.54</v>
      </c>
      <c r="J1359" s="282">
        <v>5.31</v>
      </c>
      <c r="K1359" s="282">
        <v>1439.7</v>
      </c>
      <c r="L1359" s="357">
        <v>8.3481253186263142</v>
      </c>
      <c r="M1359" s="357">
        <v>13.05</v>
      </c>
      <c r="N1359" s="357">
        <v>5.0571428571428569</v>
      </c>
      <c r="O1359" s="357">
        <v>5.4295519686227181</v>
      </c>
      <c r="P1359" s="283"/>
      <c r="Q1359" s="283"/>
      <c r="R1359" s="283">
        <v>8</v>
      </c>
    </row>
    <row r="1360" spans="1:18" ht="36">
      <c r="A1360" s="279">
        <v>62.228000000000002</v>
      </c>
      <c r="B1360" s="272" t="s">
        <v>2380</v>
      </c>
      <c r="C1360" s="280" t="s">
        <v>2381</v>
      </c>
      <c r="D1360" s="281">
        <v>231.34</v>
      </c>
      <c r="E1360" s="281">
        <v>105.04</v>
      </c>
      <c r="F1360" s="281">
        <v>1.05</v>
      </c>
      <c r="G1360" s="281">
        <v>125.25</v>
      </c>
      <c r="H1360" s="282">
        <v>1824.7</v>
      </c>
      <c r="I1360" s="282">
        <v>1370.82</v>
      </c>
      <c r="J1360" s="282">
        <v>5.31</v>
      </c>
      <c r="K1360" s="282">
        <v>448.57</v>
      </c>
      <c r="L1360" s="357">
        <v>7.8875248551914927</v>
      </c>
      <c r="M1360" s="357">
        <v>13.05</v>
      </c>
      <c r="N1360" s="357">
        <v>5.0571428571428569</v>
      </c>
      <c r="O1360" s="357">
        <v>3.5813972055888224</v>
      </c>
      <c r="P1360" s="283"/>
      <c r="Q1360" s="283"/>
      <c r="R1360" s="283">
        <v>8</v>
      </c>
    </row>
    <row r="1361" spans="1:18" ht="12.75">
      <c r="A1361" s="426" t="s">
        <v>2382</v>
      </c>
      <c r="B1361" s="427"/>
      <c r="C1361" s="427"/>
      <c r="D1361" s="427"/>
      <c r="E1361" s="427"/>
      <c r="F1361" s="427"/>
      <c r="G1361" s="427"/>
      <c r="H1361" s="427"/>
      <c r="I1361" s="427"/>
      <c r="J1361" s="427"/>
      <c r="K1361" s="427"/>
      <c r="L1361" s="427"/>
      <c r="M1361" s="427"/>
      <c r="N1361" s="427"/>
      <c r="O1361" s="427"/>
      <c r="P1361" s="427"/>
      <c r="Q1361" s="427"/>
      <c r="R1361" s="427"/>
    </row>
    <row r="1362" spans="1:18" ht="36">
      <c r="A1362" s="279">
        <v>62.228999999999999</v>
      </c>
      <c r="B1362" s="272" t="s">
        <v>2383</v>
      </c>
      <c r="C1362" s="280" t="s">
        <v>2384</v>
      </c>
      <c r="D1362" s="281">
        <v>453.11</v>
      </c>
      <c r="E1362" s="281">
        <v>356.55</v>
      </c>
      <c r="F1362" s="281">
        <v>1.05</v>
      </c>
      <c r="G1362" s="281">
        <v>95.51</v>
      </c>
      <c r="H1362" s="282">
        <v>5297.26</v>
      </c>
      <c r="I1362" s="282">
        <v>4652.96</v>
      </c>
      <c r="J1362" s="282">
        <v>5.31</v>
      </c>
      <c r="K1362" s="282">
        <v>638.99</v>
      </c>
      <c r="L1362" s="357">
        <v>11.690891836419413</v>
      </c>
      <c r="M1362" s="357">
        <v>13.05</v>
      </c>
      <c r="N1362" s="357">
        <v>5.0571428571428569</v>
      </c>
      <c r="O1362" s="357">
        <v>6.6902942100303626</v>
      </c>
      <c r="P1362" s="283"/>
      <c r="Q1362" s="283"/>
      <c r="R1362" s="283">
        <v>9</v>
      </c>
    </row>
    <row r="1363" spans="1:18" ht="36">
      <c r="A1363" s="279">
        <v>62.23</v>
      </c>
      <c r="B1363" s="272" t="s">
        <v>2385</v>
      </c>
      <c r="C1363" s="280" t="s">
        <v>2386</v>
      </c>
      <c r="D1363" s="281">
        <v>711.12</v>
      </c>
      <c r="E1363" s="281">
        <v>551.22</v>
      </c>
      <c r="F1363" s="281">
        <v>1.05</v>
      </c>
      <c r="G1363" s="281">
        <v>158.85</v>
      </c>
      <c r="H1363" s="282">
        <v>8353.7800000000007</v>
      </c>
      <c r="I1363" s="282">
        <v>7193.45</v>
      </c>
      <c r="J1363" s="282">
        <v>5.31</v>
      </c>
      <c r="K1363" s="282">
        <v>1155.02</v>
      </c>
      <c r="L1363" s="357">
        <v>11.747356283046463</v>
      </c>
      <c r="M1363" s="357">
        <v>13.05</v>
      </c>
      <c r="N1363" s="357">
        <v>5.0571428571428569</v>
      </c>
      <c r="O1363" s="357">
        <v>7.2711362920994649</v>
      </c>
      <c r="P1363" s="283"/>
      <c r="Q1363" s="283"/>
      <c r="R1363" s="283">
        <v>9</v>
      </c>
    </row>
    <row r="1364" spans="1:18" ht="36">
      <c r="A1364" s="279">
        <v>62.231000000000002</v>
      </c>
      <c r="B1364" s="272" t="s">
        <v>2387</v>
      </c>
      <c r="C1364" s="280" t="s">
        <v>2388</v>
      </c>
      <c r="D1364" s="281">
        <v>642.49</v>
      </c>
      <c r="E1364" s="281">
        <v>545.92999999999995</v>
      </c>
      <c r="F1364" s="281">
        <v>1.05</v>
      </c>
      <c r="G1364" s="281">
        <v>95.51</v>
      </c>
      <c r="H1364" s="282">
        <v>7768.71</v>
      </c>
      <c r="I1364" s="282">
        <v>7124.41</v>
      </c>
      <c r="J1364" s="282">
        <v>5.31</v>
      </c>
      <c r="K1364" s="282">
        <v>638.99</v>
      </c>
      <c r="L1364" s="357">
        <v>12.091565627480584</v>
      </c>
      <c r="M1364" s="357">
        <v>13.05</v>
      </c>
      <c r="N1364" s="357">
        <v>5.0571428571428569</v>
      </c>
      <c r="O1364" s="357">
        <v>6.6902942100303626</v>
      </c>
      <c r="P1364" s="283"/>
      <c r="Q1364" s="283"/>
      <c r="R1364" s="283">
        <v>9</v>
      </c>
    </row>
    <row r="1365" spans="1:18" ht="36">
      <c r="A1365" s="279">
        <v>62.231999999999999</v>
      </c>
      <c r="B1365" s="272" t="s">
        <v>2389</v>
      </c>
      <c r="C1365" s="280" t="s">
        <v>2390</v>
      </c>
      <c r="D1365" s="281">
        <v>985.14</v>
      </c>
      <c r="E1365" s="281">
        <v>825.24</v>
      </c>
      <c r="F1365" s="281">
        <v>1.05</v>
      </c>
      <c r="G1365" s="281">
        <v>158.85</v>
      </c>
      <c r="H1365" s="282">
        <v>11929.79</v>
      </c>
      <c r="I1365" s="282">
        <v>10769.46</v>
      </c>
      <c r="J1365" s="282">
        <v>5.31</v>
      </c>
      <c r="K1365" s="282">
        <v>1155.02</v>
      </c>
      <c r="L1365" s="357">
        <v>12.109740747507969</v>
      </c>
      <c r="M1365" s="357">
        <v>13.05</v>
      </c>
      <c r="N1365" s="357">
        <v>5.0571428571428569</v>
      </c>
      <c r="O1365" s="357">
        <v>7.2711362920994649</v>
      </c>
      <c r="P1365" s="283"/>
      <c r="Q1365" s="283"/>
      <c r="R1365" s="283">
        <v>9</v>
      </c>
    </row>
    <row r="1366" spans="1:18" ht="36">
      <c r="A1366" s="279">
        <v>62.232999999999997</v>
      </c>
      <c r="B1366" s="272" t="s">
        <v>2391</v>
      </c>
      <c r="C1366" s="280" t="s">
        <v>2392</v>
      </c>
      <c r="D1366" s="281">
        <v>293.35000000000002</v>
      </c>
      <c r="E1366" s="281">
        <v>196.79</v>
      </c>
      <c r="F1366" s="281">
        <v>1.05</v>
      </c>
      <c r="G1366" s="281">
        <v>95.51</v>
      </c>
      <c r="H1366" s="282">
        <v>3212.4</v>
      </c>
      <c r="I1366" s="282">
        <v>2568.1</v>
      </c>
      <c r="J1366" s="282">
        <v>5.31</v>
      </c>
      <c r="K1366" s="282">
        <v>638.99</v>
      </c>
      <c r="L1366" s="357">
        <v>10.95074143514573</v>
      </c>
      <c r="M1366" s="357">
        <v>13.05</v>
      </c>
      <c r="N1366" s="357">
        <v>5.0571428571428569</v>
      </c>
      <c r="O1366" s="357">
        <v>6.6902942100303626</v>
      </c>
      <c r="P1366" s="283"/>
      <c r="Q1366" s="283"/>
      <c r="R1366" s="283">
        <v>9</v>
      </c>
    </row>
    <row r="1367" spans="1:18" ht="36">
      <c r="A1367" s="279">
        <v>62.234000000000002</v>
      </c>
      <c r="B1367" s="272" t="s">
        <v>2393</v>
      </c>
      <c r="C1367" s="280" t="s">
        <v>2394</v>
      </c>
      <c r="D1367" s="281">
        <v>499.52</v>
      </c>
      <c r="E1367" s="281">
        <v>339.62</v>
      </c>
      <c r="F1367" s="281">
        <v>1.05</v>
      </c>
      <c r="G1367" s="281">
        <v>158.85</v>
      </c>
      <c r="H1367" s="282">
        <v>5592.38</v>
      </c>
      <c r="I1367" s="282">
        <v>4432.05</v>
      </c>
      <c r="J1367" s="282">
        <v>5.31</v>
      </c>
      <c r="K1367" s="282">
        <v>1155.02</v>
      </c>
      <c r="L1367" s="357">
        <v>11.195507687379886</v>
      </c>
      <c r="M1367" s="357">
        <v>13.05</v>
      </c>
      <c r="N1367" s="357">
        <v>5.0571428571428569</v>
      </c>
      <c r="O1367" s="357">
        <v>7.2711362920994649</v>
      </c>
      <c r="P1367" s="283"/>
      <c r="Q1367" s="283"/>
      <c r="R1367" s="283">
        <v>9</v>
      </c>
    </row>
    <row r="1368" spans="1:18" ht="24">
      <c r="A1368" s="279">
        <v>62.234999999999999</v>
      </c>
      <c r="B1368" s="272" t="s">
        <v>2395</v>
      </c>
      <c r="C1368" s="280" t="s">
        <v>2396</v>
      </c>
      <c r="D1368" s="281">
        <v>88.87</v>
      </c>
      <c r="E1368" s="281">
        <v>88.87</v>
      </c>
      <c r="F1368" s="281"/>
      <c r="G1368" s="281"/>
      <c r="H1368" s="282">
        <v>1159.79</v>
      </c>
      <c r="I1368" s="282">
        <v>1159.79</v>
      </c>
      <c r="J1368" s="282"/>
      <c r="K1368" s="282"/>
      <c r="L1368" s="357">
        <v>13.050410712276358</v>
      </c>
      <c r="M1368" s="357">
        <v>13.05</v>
      </c>
      <c r="N1368" s="357" t="s">
        <v>135</v>
      </c>
      <c r="O1368" s="357" t="s">
        <v>135</v>
      </c>
      <c r="P1368" s="283"/>
      <c r="Q1368" s="283"/>
      <c r="R1368" s="283">
        <v>9</v>
      </c>
    </row>
    <row r="1369" spans="1:18" ht="24">
      <c r="A1369" s="279">
        <v>62.235999999999997</v>
      </c>
      <c r="B1369" s="272" t="s">
        <v>2397</v>
      </c>
      <c r="C1369" s="280" t="s">
        <v>2398</v>
      </c>
      <c r="D1369" s="281">
        <v>138.6</v>
      </c>
      <c r="E1369" s="281">
        <v>138.6</v>
      </c>
      <c r="F1369" s="281"/>
      <c r="G1369" s="281"/>
      <c r="H1369" s="282">
        <v>1808.72</v>
      </c>
      <c r="I1369" s="282">
        <v>1808.72</v>
      </c>
      <c r="J1369" s="282"/>
      <c r="K1369" s="282"/>
      <c r="L1369" s="357">
        <v>13.049927849927851</v>
      </c>
      <c r="M1369" s="357">
        <v>13.05</v>
      </c>
      <c r="N1369" s="357" t="s">
        <v>135</v>
      </c>
      <c r="O1369" s="357" t="s">
        <v>135</v>
      </c>
      <c r="P1369" s="283"/>
      <c r="Q1369" s="283"/>
      <c r="R1369" s="283">
        <v>9</v>
      </c>
    </row>
    <row r="1370" spans="1:18" ht="24">
      <c r="A1370" s="279">
        <v>62.237000000000002</v>
      </c>
      <c r="B1370" s="272" t="s">
        <v>2399</v>
      </c>
      <c r="C1370" s="280" t="s">
        <v>2400</v>
      </c>
      <c r="D1370" s="281">
        <v>136.47999999999999</v>
      </c>
      <c r="E1370" s="281">
        <v>136.47999999999999</v>
      </c>
      <c r="F1370" s="281"/>
      <c r="G1370" s="281"/>
      <c r="H1370" s="282">
        <v>1781.1</v>
      </c>
      <c r="I1370" s="282">
        <v>1781.1</v>
      </c>
      <c r="J1370" s="282"/>
      <c r="K1370" s="282"/>
      <c r="L1370" s="357">
        <v>13.050263774912075</v>
      </c>
      <c r="M1370" s="357">
        <v>13.05</v>
      </c>
      <c r="N1370" s="357" t="s">
        <v>135</v>
      </c>
      <c r="O1370" s="357" t="s">
        <v>135</v>
      </c>
      <c r="P1370" s="283"/>
      <c r="Q1370" s="283"/>
      <c r="R1370" s="283">
        <v>9</v>
      </c>
    </row>
    <row r="1371" spans="1:18" ht="24">
      <c r="A1371" s="279">
        <v>62.238</v>
      </c>
      <c r="B1371" s="272" t="s">
        <v>2401</v>
      </c>
      <c r="C1371" s="280" t="s">
        <v>2402</v>
      </c>
      <c r="D1371" s="281">
        <v>205.25</v>
      </c>
      <c r="E1371" s="281">
        <v>205.25</v>
      </c>
      <c r="F1371" s="281"/>
      <c r="G1371" s="281"/>
      <c r="H1371" s="282">
        <v>2678.56</v>
      </c>
      <c r="I1371" s="282">
        <v>2678.56</v>
      </c>
      <c r="J1371" s="282"/>
      <c r="K1371" s="282"/>
      <c r="L1371" s="357">
        <v>13.050231425091352</v>
      </c>
      <c r="M1371" s="357">
        <v>13.05</v>
      </c>
      <c r="N1371" s="357" t="s">
        <v>135</v>
      </c>
      <c r="O1371" s="357" t="s">
        <v>135</v>
      </c>
      <c r="P1371" s="283"/>
      <c r="Q1371" s="283"/>
      <c r="R1371" s="283">
        <v>9</v>
      </c>
    </row>
    <row r="1372" spans="1:18" ht="24">
      <c r="A1372" s="279">
        <v>62.238999999999997</v>
      </c>
      <c r="B1372" s="272" t="s">
        <v>2403</v>
      </c>
      <c r="C1372" s="280" t="s">
        <v>2404</v>
      </c>
      <c r="D1372" s="281">
        <v>48.67</v>
      </c>
      <c r="E1372" s="281">
        <v>48.67</v>
      </c>
      <c r="F1372" s="281"/>
      <c r="G1372" s="281"/>
      <c r="H1372" s="282">
        <v>635.12</v>
      </c>
      <c r="I1372" s="282">
        <v>635.12</v>
      </c>
      <c r="J1372" s="282"/>
      <c r="K1372" s="282"/>
      <c r="L1372" s="357">
        <v>13.049517156359153</v>
      </c>
      <c r="M1372" s="357">
        <v>13.05</v>
      </c>
      <c r="N1372" s="357" t="s">
        <v>135</v>
      </c>
      <c r="O1372" s="357" t="s">
        <v>135</v>
      </c>
      <c r="P1372" s="283"/>
      <c r="Q1372" s="283"/>
      <c r="R1372" s="283">
        <v>9</v>
      </c>
    </row>
    <row r="1373" spans="1:18" ht="24">
      <c r="A1373" s="279">
        <v>62.24</v>
      </c>
      <c r="B1373" s="272" t="s">
        <v>2405</v>
      </c>
      <c r="C1373" s="280" t="s">
        <v>2406</v>
      </c>
      <c r="D1373" s="281">
        <v>84.64</v>
      </c>
      <c r="E1373" s="281">
        <v>84.64</v>
      </c>
      <c r="F1373" s="281"/>
      <c r="G1373" s="281"/>
      <c r="H1373" s="282">
        <v>1104.56</v>
      </c>
      <c r="I1373" s="282">
        <v>1104.56</v>
      </c>
      <c r="J1373" s="282"/>
      <c r="K1373" s="282"/>
      <c r="L1373" s="357">
        <v>13.050094517958412</v>
      </c>
      <c r="M1373" s="357">
        <v>13.05</v>
      </c>
      <c r="N1373" s="357" t="s">
        <v>135</v>
      </c>
      <c r="O1373" s="357" t="s">
        <v>135</v>
      </c>
      <c r="P1373" s="283"/>
      <c r="Q1373" s="283"/>
      <c r="R1373" s="283">
        <v>9</v>
      </c>
    </row>
    <row r="1374" spans="1:18" ht="24">
      <c r="A1374" s="279">
        <v>62.241</v>
      </c>
      <c r="B1374" s="272" t="s">
        <v>2407</v>
      </c>
      <c r="C1374" s="280" t="s">
        <v>2408</v>
      </c>
      <c r="D1374" s="281">
        <v>70.89</v>
      </c>
      <c r="E1374" s="281">
        <v>70.89</v>
      </c>
      <c r="F1374" s="281"/>
      <c r="G1374" s="281"/>
      <c r="H1374" s="282">
        <v>925.07</v>
      </c>
      <c r="I1374" s="282">
        <v>925.07</v>
      </c>
      <c r="J1374" s="282"/>
      <c r="K1374" s="282"/>
      <c r="L1374" s="357">
        <v>13.04937226689237</v>
      </c>
      <c r="M1374" s="357">
        <v>13.05</v>
      </c>
      <c r="N1374" s="357" t="s">
        <v>135</v>
      </c>
      <c r="O1374" s="357" t="s">
        <v>135</v>
      </c>
      <c r="P1374" s="283"/>
      <c r="Q1374" s="283"/>
      <c r="R1374" s="283">
        <v>9</v>
      </c>
    </row>
    <row r="1375" spans="1:18" ht="24">
      <c r="A1375" s="279">
        <v>62.241999999999997</v>
      </c>
      <c r="B1375" s="272" t="s">
        <v>2409</v>
      </c>
      <c r="C1375" s="280" t="s">
        <v>2410</v>
      </c>
      <c r="D1375" s="281">
        <v>110.03</v>
      </c>
      <c r="E1375" s="281">
        <v>110.03</v>
      </c>
      <c r="F1375" s="281"/>
      <c r="G1375" s="281"/>
      <c r="H1375" s="282">
        <v>1435.93</v>
      </c>
      <c r="I1375" s="282">
        <v>1435.93</v>
      </c>
      <c r="J1375" s="282"/>
      <c r="K1375" s="282"/>
      <c r="L1375" s="357">
        <v>13.050349904571481</v>
      </c>
      <c r="M1375" s="357">
        <v>13.05</v>
      </c>
      <c r="N1375" s="357" t="s">
        <v>135</v>
      </c>
      <c r="O1375" s="357" t="s">
        <v>135</v>
      </c>
      <c r="P1375" s="283"/>
      <c r="Q1375" s="283"/>
      <c r="R1375" s="283">
        <v>9</v>
      </c>
    </row>
    <row r="1376" spans="1:18" ht="24">
      <c r="A1376" s="279">
        <v>62.243000000000002</v>
      </c>
      <c r="B1376" s="272" t="s">
        <v>2411</v>
      </c>
      <c r="C1376" s="280" t="s">
        <v>2412</v>
      </c>
      <c r="D1376" s="281">
        <v>108.97</v>
      </c>
      <c r="E1376" s="281">
        <v>108.97</v>
      </c>
      <c r="F1376" s="281"/>
      <c r="G1376" s="281"/>
      <c r="H1376" s="282">
        <v>1422.12</v>
      </c>
      <c r="I1376" s="282">
        <v>1422.12</v>
      </c>
      <c r="J1376" s="282"/>
      <c r="K1376" s="282"/>
      <c r="L1376" s="357">
        <v>13.050564375516196</v>
      </c>
      <c r="M1376" s="357">
        <v>13.05</v>
      </c>
      <c r="N1376" s="357" t="s">
        <v>135</v>
      </c>
      <c r="O1376" s="357" t="s">
        <v>135</v>
      </c>
      <c r="P1376" s="283"/>
      <c r="Q1376" s="283"/>
      <c r="R1376" s="283">
        <v>9</v>
      </c>
    </row>
    <row r="1377" spans="1:18" ht="24">
      <c r="A1377" s="279">
        <v>62.244</v>
      </c>
      <c r="B1377" s="272" t="s">
        <v>2413</v>
      </c>
      <c r="C1377" s="280" t="s">
        <v>2414</v>
      </c>
      <c r="D1377" s="281">
        <v>163.99</v>
      </c>
      <c r="E1377" s="281">
        <v>163.99</v>
      </c>
      <c r="F1377" s="281"/>
      <c r="G1377" s="281"/>
      <c r="H1377" s="282">
        <v>2140.09</v>
      </c>
      <c r="I1377" s="282">
        <v>2140.09</v>
      </c>
      <c r="J1377" s="282"/>
      <c r="K1377" s="282"/>
      <c r="L1377" s="357">
        <v>13.050125007622416</v>
      </c>
      <c r="M1377" s="357">
        <v>13.05</v>
      </c>
      <c r="N1377" s="357" t="s">
        <v>135</v>
      </c>
      <c r="O1377" s="357" t="s">
        <v>135</v>
      </c>
      <c r="P1377" s="283"/>
      <c r="Q1377" s="283"/>
      <c r="R1377" s="283">
        <v>9</v>
      </c>
    </row>
    <row r="1378" spans="1:18" ht="24">
      <c r="A1378" s="279">
        <v>62.244999999999997</v>
      </c>
      <c r="B1378" s="272" t="s">
        <v>2415</v>
      </c>
      <c r="C1378" s="280" t="s">
        <v>2416</v>
      </c>
      <c r="D1378" s="281">
        <v>39.15</v>
      </c>
      <c r="E1378" s="281">
        <v>39.15</v>
      </c>
      <c r="F1378" s="281"/>
      <c r="G1378" s="281"/>
      <c r="H1378" s="282">
        <v>510.86</v>
      </c>
      <c r="I1378" s="282">
        <v>510.86</v>
      </c>
      <c r="J1378" s="282"/>
      <c r="K1378" s="282"/>
      <c r="L1378" s="357">
        <v>13.048786717752236</v>
      </c>
      <c r="M1378" s="357">
        <v>13.05</v>
      </c>
      <c r="N1378" s="357" t="s">
        <v>135</v>
      </c>
      <c r="O1378" s="357" t="s">
        <v>135</v>
      </c>
      <c r="P1378" s="283"/>
      <c r="Q1378" s="283"/>
      <c r="R1378" s="283">
        <v>9</v>
      </c>
    </row>
    <row r="1379" spans="1:18" ht="24">
      <c r="A1379" s="284">
        <v>62.246000000000002</v>
      </c>
      <c r="B1379" s="285" t="s">
        <v>2417</v>
      </c>
      <c r="C1379" s="286" t="s">
        <v>2418</v>
      </c>
      <c r="D1379" s="287">
        <v>67.709999999999994</v>
      </c>
      <c r="E1379" s="287">
        <v>67.709999999999994</v>
      </c>
      <c r="F1379" s="287"/>
      <c r="G1379" s="287"/>
      <c r="H1379" s="288">
        <v>883.65</v>
      </c>
      <c r="I1379" s="288">
        <v>883.65</v>
      </c>
      <c r="J1379" s="288"/>
      <c r="K1379" s="288"/>
      <c r="L1379" s="356">
        <v>13.050509525919363</v>
      </c>
      <c r="M1379" s="356">
        <v>13.05</v>
      </c>
      <c r="N1379" s="356" t="s">
        <v>135</v>
      </c>
      <c r="O1379" s="356" t="s">
        <v>135</v>
      </c>
      <c r="P1379" s="289"/>
      <c r="Q1379" s="289"/>
      <c r="R1379" s="289">
        <v>9</v>
      </c>
    </row>
    <row r="1380" spans="1:18" ht="12.75">
      <c r="A1380" s="428" t="s">
        <v>2419</v>
      </c>
      <c r="B1380" s="429"/>
      <c r="C1380" s="429"/>
      <c r="D1380" s="429"/>
      <c r="E1380" s="429"/>
      <c r="F1380" s="429"/>
      <c r="G1380" s="429"/>
      <c r="H1380" s="429"/>
      <c r="I1380" s="429"/>
      <c r="J1380" s="429"/>
      <c r="K1380" s="429"/>
      <c r="L1380" s="429"/>
      <c r="M1380" s="429"/>
      <c r="N1380" s="429"/>
      <c r="O1380" s="429"/>
      <c r="P1380" s="429"/>
      <c r="Q1380" s="429"/>
      <c r="R1380" s="429"/>
    </row>
    <row r="1381" spans="1:18" ht="12.75">
      <c r="A1381" s="426" t="s">
        <v>2420</v>
      </c>
      <c r="B1381" s="427"/>
      <c r="C1381" s="427"/>
      <c r="D1381" s="427"/>
      <c r="E1381" s="427"/>
      <c r="F1381" s="427"/>
      <c r="G1381" s="427"/>
      <c r="H1381" s="427"/>
      <c r="I1381" s="427"/>
      <c r="J1381" s="427"/>
      <c r="K1381" s="427"/>
      <c r="L1381" s="427"/>
      <c r="M1381" s="427"/>
      <c r="N1381" s="427"/>
      <c r="O1381" s="427"/>
      <c r="P1381" s="427"/>
      <c r="Q1381" s="427"/>
      <c r="R1381" s="427"/>
    </row>
    <row r="1382" spans="1:18" ht="24">
      <c r="A1382" s="279">
        <v>62.247</v>
      </c>
      <c r="B1382" s="272" t="s">
        <v>2421</v>
      </c>
      <c r="C1382" s="280" t="s">
        <v>2422</v>
      </c>
      <c r="D1382" s="281">
        <v>147.38999999999999</v>
      </c>
      <c r="E1382" s="281">
        <v>124.01</v>
      </c>
      <c r="F1382" s="281">
        <v>1.05</v>
      </c>
      <c r="G1382" s="281">
        <v>22.33</v>
      </c>
      <c r="H1382" s="282">
        <v>1709.52</v>
      </c>
      <c r="I1382" s="282">
        <v>1618.37</v>
      </c>
      <c r="J1382" s="282">
        <v>5.31</v>
      </c>
      <c r="K1382" s="282">
        <v>85.84</v>
      </c>
      <c r="L1382" s="357">
        <v>11.598615916955017</v>
      </c>
      <c r="M1382" s="357">
        <v>13.05</v>
      </c>
      <c r="N1382" s="357">
        <v>5.0571428571428569</v>
      </c>
      <c r="O1382" s="357">
        <v>3.8441558441558445</v>
      </c>
      <c r="P1382" s="283"/>
      <c r="Q1382" s="283"/>
      <c r="R1382" s="283">
        <v>1</v>
      </c>
    </row>
    <row r="1383" spans="1:18" ht="12.75">
      <c r="A1383" s="426" t="s">
        <v>2423</v>
      </c>
      <c r="B1383" s="427"/>
      <c r="C1383" s="427"/>
      <c r="D1383" s="427"/>
      <c r="E1383" s="427"/>
      <c r="F1383" s="427"/>
      <c r="G1383" s="427"/>
      <c r="H1383" s="427"/>
      <c r="I1383" s="427"/>
      <c r="J1383" s="427"/>
      <c r="K1383" s="427"/>
      <c r="L1383" s="427"/>
      <c r="M1383" s="427"/>
      <c r="N1383" s="427"/>
      <c r="O1383" s="427"/>
      <c r="P1383" s="427"/>
      <c r="Q1383" s="427"/>
      <c r="R1383" s="427"/>
    </row>
    <row r="1384" spans="1:18">
      <c r="A1384" s="279">
        <v>62.247999999999998</v>
      </c>
      <c r="B1384" s="272" t="s">
        <v>2424</v>
      </c>
      <c r="C1384" s="280" t="s">
        <v>2423</v>
      </c>
      <c r="D1384" s="281">
        <v>1131.77</v>
      </c>
      <c r="E1384" s="281">
        <v>1005.45</v>
      </c>
      <c r="F1384" s="281"/>
      <c r="G1384" s="281">
        <v>126.32</v>
      </c>
      <c r="H1384" s="282">
        <v>13527.37</v>
      </c>
      <c r="I1384" s="282">
        <v>13121.14</v>
      </c>
      <c r="J1384" s="282"/>
      <c r="K1384" s="282">
        <v>406.23</v>
      </c>
      <c r="L1384" s="357">
        <v>11.952401989803583</v>
      </c>
      <c r="M1384" s="357">
        <v>13.05</v>
      </c>
      <c r="N1384" s="357" t="s">
        <v>135</v>
      </c>
      <c r="O1384" s="357">
        <v>3.2158803039898674</v>
      </c>
      <c r="P1384" s="283"/>
      <c r="Q1384" s="283"/>
      <c r="R1384" s="283">
        <v>2</v>
      </c>
    </row>
    <row r="1385" spans="1:18" ht="12.75">
      <c r="A1385" s="426" t="s">
        <v>2425</v>
      </c>
      <c r="B1385" s="427"/>
      <c r="C1385" s="427"/>
      <c r="D1385" s="427"/>
      <c r="E1385" s="427"/>
      <c r="F1385" s="427"/>
      <c r="G1385" s="427"/>
      <c r="H1385" s="427"/>
      <c r="I1385" s="427"/>
      <c r="J1385" s="427"/>
      <c r="K1385" s="427"/>
      <c r="L1385" s="427"/>
      <c r="M1385" s="427"/>
      <c r="N1385" s="427"/>
      <c r="O1385" s="427"/>
      <c r="P1385" s="427"/>
      <c r="Q1385" s="427"/>
      <c r="R1385" s="427"/>
    </row>
    <row r="1386" spans="1:18" ht="24">
      <c r="A1386" s="279">
        <v>62.249000000000002</v>
      </c>
      <c r="B1386" s="272" t="s">
        <v>2426</v>
      </c>
      <c r="C1386" s="280" t="s">
        <v>2427</v>
      </c>
      <c r="D1386" s="281">
        <v>64.37</v>
      </c>
      <c r="E1386" s="281">
        <v>56.75</v>
      </c>
      <c r="F1386" s="281"/>
      <c r="G1386" s="281">
        <v>7.62</v>
      </c>
      <c r="H1386" s="282">
        <v>772.27</v>
      </c>
      <c r="I1386" s="282">
        <v>740.56</v>
      </c>
      <c r="J1386" s="282"/>
      <c r="K1386" s="282">
        <v>31.71</v>
      </c>
      <c r="L1386" s="357">
        <v>11.997359018176168</v>
      </c>
      <c r="M1386" s="357">
        <v>13.05</v>
      </c>
      <c r="N1386" s="357" t="s">
        <v>135</v>
      </c>
      <c r="O1386" s="357">
        <v>4.1614173228346454</v>
      </c>
      <c r="P1386" s="283"/>
      <c r="Q1386" s="283"/>
      <c r="R1386" s="283">
        <v>3</v>
      </c>
    </row>
    <row r="1387" spans="1:18" ht="24">
      <c r="A1387" s="279">
        <v>62.25</v>
      </c>
      <c r="B1387" s="272" t="s">
        <v>2428</v>
      </c>
      <c r="C1387" s="280" t="s">
        <v>2429</v>
      </c>
      <c r="D1387" s="281">
        <v>80.12</v>
      </c>
      <c r="E1387" s="281">
        <v>72.5</v>
      </c>
      <c r="F1387" s="281"/>
      <c r="G1387" s="281">
        <v>7.62</v>
      </c>
      <c r="H1387" s="282">
        <v>977.85</v>
      </c>
      <c r="I1387" s="282">
        <v>946.14</v>
      </c>
      <c r="J1387" s="282"/>
      <c r="K1387" s="282">
        <v>31.71</v>
      </c>
      <c r="L1387" s="357">
        <v>12.20481777333999</v>
      </c>
      <c r="M1387" s="357">
        <v>13.05</v>
      </c>
      <c r="N1387" s="357" t="s">
        <v>135</v>
      </c>
      <c r="O1387" s="357">
        <v>4.1614173228346454</v>
      </c>
      <c r="P1387" s="283"/>
      <c r="Q1387" s="283"/>
      <c r="R1387" s="283">
        <v>3</v>
      </c>
    </row>
    <row r="1388" spans="1:18" ht="24">
      <c r="A1388" s="279">
        <v>62.250999999999998</v>
      </c>
      <c r="B1388" s="272" t="s">
        <v>2430</v>
      </c>
      <c r="C1388" s="280" t="s">
        <v>2431</v>
      </c>
      <c r="D1388" s="281">
        <v>96.35</v>
      </c>
      <c r="E1388" s="281">
        <v>88.73</v>
      </c>
      <c r="F1388" s="281"/>
      <c r="G1388" s="281">
        <v>7.62</v>
      </c>
      <c r="H1388" s="282">
        <v>1189.6099999999999</v>
      </c>
      <c r="I1388" s="282">
        <v>1157.9000000000001</v>
      </c>
      <c r="J1388" s="282"/>
      <c r="K1388" s="282">
        <v>31.71</v>
      </c>
      <c r="L1388" s="357">
        <v>12.346756616502335</v>
      </c>
      <c r="M1388" s="357">
        <v>13.05</v>
      </c>
      <c r="N1388" s="357" t="s">
        <v>135</v>
      </c>
      <c r="O1388" s="357">
        <v>4.1614173228346454</v>
      </c>
      <c r="P1388" s="283"/>
      <c r="Q1388" s="283"/>
      <c r="R1388" s="283">
        <v>3</v>
      </c>
    </row>
    <row r="1389" spans="1:18" ht="24">
      <c r="A1389" s="279">
        <v>62.252000000000002</v>
      </c>
      <c r="B1389" s="272" t="s">
        <v>2432</v>
      </c>
      <c r="C1389" s="280" t="s">
        <v>2433</v>
      </c>
      <c r="D1389" s="281">
        <v>14.8</v>
      </c>
      <c r="E1389" s="281">
        <v>14.8</v>
      </c>
      <c r="F1389" s="281"/>
      <c r="G1389" s="281"/>
      <c r="H1389" s="282">
        <v>193.19</v>
      </c>
      <c r="I1389" s="282">
        <v>193.19</v>
      </c>
      <c r="J1389" s="282"/>
      <c r="K1389" s="282"/>
      <c r="L1389" s="357">
        <v>13.053378378378378</v>
      </c>
      <c r="M1389" s="357">
        <v>13.05</v>
      </c>
      <c r="N1389" s="357" t="s">
        <v>135</v>
      </c>
      <c r="O1389" s="357" t="s">
        <v>135</v>
      </c>
      <c r="P1389" s="283"/>
      <c r="Q1389" s="283"/>
      <c r="R1389" s="283">
        <v>3</v>
      </c>
    </row>
    <row r="1390" spans="1:18" ht="24">
      <c r="A1390" s="279">
        <v>62.253</v>
      </c>
      <c r="B1390" s="272" t="s">
        <v>2434</v>
      </c>
      <c r="C1390" s="280" t="s">
        <v>2435</v>
      </c>
      <c r="D1390" s="281">
        <v>25.91</v>
      </c>
      <c r="E1390" s="281">
        <v>25.91</v>
      </c>
      <c r="F1390" s="281"/>
      <c r="G1390" s="281"/>
      <c r="H1390" s="282">
        <v>338.08</v>
      </c>
      <c r="I1390" s="282">
        <v>338.08</v>
      </c>
      <c r="J1390" s="282"/>
      <c r="K1390" s="282"/>
      <c r="L1390" s="357">
        <v>13.04824392126592</v>
      </c>
      <c r="M1390" s="357">
        <v>13.05</v>
      </c>
      <c r="N1390" s="357" t="s">
        <v>135</v>
      </c>
      <c r="O1390" s="357" t="s">
        <v>135</v>
      </c>
      <c r="P1390" s="283"/>
      <c r="Q1390" s="283"/>
      <c r="R1390" s="283">
        <v>3</v>
      </c>
    </row>
    <row r="1391" spans="1:18" ht="24">
      <c r="A1391" s="279">
        <v>62.253999999999998</v>
      </c>
      <c r="B1391" s="272" t="s">
        <v>2436</v>
      </c>
      <c r="C1391" s="280" t="s">
        <v>2437</v>
      </c>
      <c r="D1391" s="281">
        <v>11.77</v>
      </c>
      <c r="E1391" s="281">
        <v>11.77</v>
      </c>
      <c r="F1391" s="281"/>
      <c r="G1391" s="281"/>
      <c r="H1391" s="282">
        <v>153.56</v>
      </c>
      <c r="I1391" s="282">
        <v>153.56</v>
      </c>
      <c r="J1391" s="282"/>
      <c r="K1391" s="282"/>
      <c r="L1391" s="357">
        <v>13.046728971962617</v>
      </c>
      <c r="M1391" s="357">
        <v>13.05</v>
      </c>
      <c r="N1391" s="357" t="s">
        <v>135</v>
      </c>
      <c r="O1391" s="357" t="s">
        <v>135</v>
      </c>
      <c r="P1391" s="283"/>
      <c r="Q1391" s="283"/>
      <c r="R1391" s="283">
        <v>3</v>
      </c>
    </row>
    <row r="1392" spans="1:18" ht="24">
      <c r="A1392" s="279">
        <v>62.255000000000003</v>
      </c>
      <c r="B1392" s="272" t="s">
        <v>2438</v>
      </c>
      <c r="C1392" s="280" t="s">
        <v>2439</v>
      </c>
      <c r="D1392" s="281">
        <v>20.97</v>
      </c>
      <c r="E1392" s="281">
        <v>20.97</v>
      </c>
      <c r="F1392" s="281"/>
      <c r="G1392" s="281"/>
      <c r="H1392" s="282">
        <v>273.69</v>
      </c>
      <c r="I1392" s="282">
        <v>273.69</v>
      </c>
      <c r="J1392" s="282"/>
      <c r="K1392" s="282"/>
      <c r="L1392" s="357">
        <v>13.051502145922747</v>
      </c>
      <c r="M1392" s="357">
        <v>13.05</v>
      </c>
      <c r="N1392" s="357" t="s">
        <v>135</v>
      </c>
      <c r="O1392" s="357" t="s">
        <v>135</v>
      </c>
      <c r="P1392" s="283"/>
      <c r="Q1392" s="283"/>
      <c r="R1392" s="283">
        <v>3</v>
      </c>
    </row>
    <row r="1393" spans="1:18" ht="12.75">
      <c r="A1393" s="426" t="s">
        <v>2440</v>
      </c>
      <c r="B1393" s="427"/>
      <c r="C1393" s="427"/>
      <c r="D1393" s="427"/>
      <c r="E1393" s="427"/>
      <c r="F1393" s="427"/>
      <c r="G1393" s="427"/>
      <c r="H1393" s="427"/>
      <c r="I1393" s="427"/>
      <c r="J1393" s="427"/>
      <c r="K1393" s="427"/>
      <c r="L1393" s="427"/>
      <c r="M1393" s="427"/>
      <c r="N1393" s="427"/>
      <c r="O1393" s="427"/>
      <c r="P1393" s="427"/>
      <c r="Q1393" s="427"/>
      <c r="R1393" s="427"/>
    </row>
    <row r="1394" spans="1:18" ht="24">
      <c r="A1394" s="279">
        <v>62.256</v>
      </c>
      <c r="B1394" s="272" t="s">
        <v>2441</v>
      </c>
      <c r="C1394" s="280" t="s">
        <v>2442</v>
      </c>
      <c r="D1394" s="281">
        <v>65.7</v>
      </c>
      <c r="E1394" s="281">
        <v>55.05</v>
      </c>
      <c r="F1394" s="281"/>
      <c r="G1394" s="281">
        <v>10.65</v>
      </c>
      <c r="H1394" s="282">
        <v>758.57</v>
      </c>
      <c r="I1394" s="282">
        <v>718.38</v>
      </c>
      <c r="J1394" s="282"/>
      <c r="K1394" s="282">
        <v>40.19</v>
      </c>
      <c r="L1394" s="357">
        <v>11.545966514459666</v>
      </c>
      <c r="M1394" s="357">
        <v>13.05</v>
      </c>
      <c r="N1394" s="357" t="s">
        <v>135</v>
      </c>
      <c r="O1394" s="357">
        <v>3.7737089201877931</v>
      </c>
      <c r="P1394" s="283"/>
      <c r="Q1394" s="283"/>
      <c r="R1394" s="283">
        <v>4</v>
      </c>
    </row>
    <row r="1395" spans="1:18" ht="24">
      <c r="A1395" s="279">
        <v>62.256999999999998</v>
      </c>
      <c r="B1395" s="272" t="s">
        <v>2443</v>
      </c>
      <c r="C1395" s="280" t="s">
        <v>2444</v>
      </c>
      <c r="D1395" s="281">
        <v>43.68</v>
      </c>
      <c r="E1395" s="281">
        <v>33.03</v>
      </c>
      <c r="F1395" s="281"/>
      <c r="G1395" s="281">
        <v>10.65</v>
      </c>
      <c r="H1395" s="282">
        <v>471.22</v>
      </c>
      <c r="I1395" s="282">
        <v>431.03</v>
      </c>
      <c r="J1395" s="282"/>
      <c r="K1395" s="282">
        <v>40.19</v>
      </c>
      <c r="L1395" s="357">
        <v>10.788003663003664</v>
      </c>
      <c r="M1395" s="357">
        <v>13.05</v>
      </c>
      <c r="N1395" s="357" t="s">
        <v>135</v>
      </c>
      <c r="O1395" s="357">
        <v>3.7737089201877931</v>
      </c>
      <c r="P1395" s="283"/>
      <c r="Q1395" s="283"/>
      <c r="R1395" s="283">
        <v>4</v>
      </c>
    </row>
    <row r="1396" spans="1:18" ht="24">
      <c r="A1396" s="279">
        <v>62.258000000000003</v>
      </c>
      <c r="B1396" s="272" t="s">
        <v>2445</v>
      </c>
      <c r="C1396" s="280" t="s">
        <v>2446</v>
      </c>
      <c r="D1396" s="281">
        <v>76.709999999999994</v>
      </c>
      <c r="E1396" s="281">
        <v>66.06</v>
      </c>
      <c r="F1396" s="281"/>
      <c r="G1396" s="281">
        <v>10.65</v>
      </c>
      <c r="H1396" s="282">
        <v>902.25</v>
      </c>
      <c r="I1396" s="282">
        <v>862.06</v>
      </c>
      <c r="J1396" s="282"/>
      <c r="K1396" s="282">
        <v>40.19</v>
      </c>
      <c r="L1396" s="357">
        <v>11.761830269847479</v>
      </c>
      <c r="M1396" s="357">
        <v>13.05</v>
      </c>
      <c r="N1396" s="357" t="s">
        <v>135</v>
      </c>
      <c r="O1396" s="357">
        <v>3.7737089201877931</v>
      </c>
      <c r="P1396" s="283"/>
      <c r="Q1396" s="283"/>
      <c r="R1396" s="283">
        <v>4</v>
      </c>
    </row>
    <row r="1397" spans="1:18" ht="24">
      <c r="A1397" s="279">
        <v>62.259</v>
      </c>
      <c r="B1397" s="272" t="s">
        <v>2447</v>
      </c>
      <c r="C1397" s="280" t="s">
        <v>2448</v>
      </c>
      <c r="D1397" s="281">
        <v>14.21</v>
      </c>
      <c r="E1397" s="281">
        <v>14.21</v>
      </c>
      <c r="F1397" s="281"/>
      <c r="G1397" s="281"/>
      <c r="H1397" s="282">
        <v>185.43</v>
      </c>
      <c r="I1397" s="282">
        <v>185.43</v>
      </c>
      <c r="J1397" s="282"/>
      <c r="K1397" s="282"/>
      <c r="L1397" s="357">
        <v>13.049261083743842</v>
      </c>
      <c r="M1397" s="357">
        <v>13.05</v>
      </c>
      <c r="N1397" s="357" t="s">
        <v>135</v>
      </c>
      <c r="O1397" s="357" t="s">
        <v>135</v>
      </c>
      <c r="P1397" s="283"/>
      <c r="Q1397" s="283"/>
      <c r="R1397" s="283">
        <v>4</v>
      </c>
    </row>
    <row r="1398" spans="1:18" ht="24">
      <c r="A1398" s="279">
        <v>62.26</v>
      </c>
      <c r="B1398" s="272" t="s">
        <v>2449</v>
      </c>
      <c r="C1398" s="280" t="s">
        <v>2450</v>
      </c>
      <c r="D1398" s="281">
        <v>13.93</v>
      </c>
      <c r="E1398" s="281">
        <v>13.93</v>
      </c>
      <c r="F1398" s="281"/>
      <c r="G1398" s="281"/>
      <c r="H1398" s="282">
        <v>181.74</v>
      </c>
      <c r="I1398" s="282">
        <v>181.74</v>
      </c>
      <c r="J1398" s="282"/>
      <c r="K1398" s="282"/>
      <c r="L1398" s="357">
        <v>13.046661880832737</v>
      </c>
      <c r="M1398" s="357">
        <v>13.05</v>
      </c>
      <c r="N1398" s="357" t="s">
        <v>135</v>
      </c>
      <c r="O1398" s="357" t="s">
        <v>135</v>
      </c>
      <c r="P1398" s="283"/>
      <c r="Q1398" s="283"/>
      <c r="R1398" s="283">
        <v>4</v>
      </c>
    </row>
    <row r="1399" spans="1:18" ht="24">
      <c r="A1399" s="279">
        <v>62.261000000000003</v>
      </c>
      <c r="B1399" s="272" t="s">
        <v>2451</v>
      </c>
      <c r="C1399" s="280" t="s">
        <v>2452</v>
      </c>
      <c r="D1399" s="281">
        <v>11.01</v>
      </c>
      <c r="E1399" s="281">
        <v>11.01</v>
      </c>
      <c r="F1399" s="281"/>
      <c r="G1399" s="281"/>
      <c r="H1399" s="282">
        <v>143.68</v>
      </c>
      <c r="I1399" s="282">
        <v>143.68</v>
      </c>
      <c r="J1399" s="282"/>
      <c r="K1399" s="282"/>
      <c r="L1399" s="357">
        <v>13.049954586739329</v>
      </c>
      <c r="M1399" s="357">
        <v>13.05</v>
      </c>
      <c r="N1399" s="357" t="s">
        <v>135</v>
      </c>
      <c r="O1399" s="357" t="s">
        <v>135</v>
      </c>
      <c r="P1399" s="283"/>
      <c r="Q1399" s="283"/>
      <c r="R1399" s="283">
        <v>4</v>
      </c>
    </row>
    <row r="1400" spans="1:18" ht="24">
      <c r="A1400" s="279">
        <v>62.262</v>
      </c>
      <c r="B1400" s="272" t="s">
        <v>2453</v>
      </c>
      <c r="C1400" s="280" t="s">
        <v>2454</v>
      </c>
      <c r="D1400" s="281">
        <v>13.46</v>
      </c>
      <c r="E1400" s="281">
        <v>13.46</v>
      </c>
      <c r="F1400" s="281"/>
      <c r="G1400" s="281"/>
      <c r="H1400" s="282">
        <v>175.6</v>
      </c>
      <c r="I1400" s="282">
        <v>175.6</v>
      </c>
      <c r="J1400" s="282"/>
      <c r="K1400" s="282"/>
      <c r="L1400" s="357">
        <v>13.046062407132242</v>
      </c>
      <c r="M1400" s="357">
        <v>13.05</v>
      </c>
      <c r="N1400" s="357" t="s">
        <v>135</v>
      </c>
      <c r="O1400" s="357" t="s">
        <v>135</v>
      </c>
      <c r="P1400" s="283"/>
      <c r="Q1400" s="283"/>
      <c r="R1400" s="283">
        <v>4</v>
      </c>
    </row>
    <row r="1401" spans="1:18" ht="12.75">
      <c r="A1401" s="426" t="s">
        <v>2455</v>
      </c>
      <c r="B1401" s="427"/>
      <c r="C1401" s="427"/>
      <c r="D1401" s="427"/>
      <c r="E1401" s="427"/>
      <c r="F1401" s="427"/>
      <c r="G1401" s="427"/>
      <c r="H1401" s="427"/>
      <c r="I1401" s="427"/>
      <c r="J1401" s="427"/>
      <c r="K1401" s="427"/>
      <c r="L1401" s="427"/>
      <c r="M1401" s="427"/>
      <c r="N1401" s="427"/>
      <c r="O1401" s="427"/>
      <c r="P1401" s="427"/>
      <c r="Q1401" s="427"/>
      <c r="R1401" s="427"/>
    </row>
    <row r="1402" spans="1:18" ht="36">
      <c r="A1402" s="279">
        <v>62.262999999999998</v>
      </c>
      <c r="B1402" s="272" t="s">
        <v>2456</v>
      </c>
      <c r="C1402" s="280" t="s">
        <v>2457</v>
      </c>
      <c r="D1402" s="281">
        <v>193.86</v>
      </c>
      <c r="E1402" s="281">
        <v>193.86</v>
      </c>
      <c r="F1402" s="281"/>
      <c r="G1402" s="281"/>
      <c r="H1402" s="282">
        <v>2529.9</v>
      </c>
      <c r="I1402" s="282">
        <v>2529.9</v>
      </c>
      <c r="J1402" s="282"/>
      <c r="K1402" s="282"/>
      <c r="L1402" s="357">
        <v>13.050139275766016</v>
      </c>
      <c r="M1402" s="357">
        <v>13.05</v>
      </c>
      <c r="N1402" s="357" t="s">
        <v>135</v>
      </c>
      <c r="O1402" s="357" t="s">
        <v>135</v>
      </c>
      <c r="P1402" s="283"/>
      <c r="Q1402" s="283"/>
      <c r="R1402" s="283">
        <v>5</v>
      </c>
    </row>
    <row r="1403" spans="1:18" ht="24">
      <c r="A1403" s="279">
        <v>62.264000000000003</v>
      </c>
      <c r="B1403" s="272" t="s">
        <v>2458</v>
      </c>
      <c r="C1403" s="280" t="s">
        <v>2459</v>
      </c>
      <c r="D1403" s="281">
        <v>241.11</v>
      </c>
      <c r="E1403" s="281">
        <v>241.11</v>
      </c>
      <c r="F1403" s="281"/>
      <c r="G1403" s="281"/>
      <c r="H1403" s="282">
        <v>3146.57</v>
      </c>
      <c r="I1403" s="282">
        <v>3146.57</v>
      </c>
      <c r="J1403" s="282"/>
      <c r="K1403" s="282"/>
      <c r="L1403" s="357">
        <v>13.050350462444527</v>
      </c>
      <c r="M1403" s="357">
        <v>13.05</v>
      </c>
      <c r="N1403" s="357" t="s">
        <v>135</v>
      </c>
      <c r="O1403" s="357" t="s">
        <v>135</v>
      </c>
      <c r="P1403" s="283"/>
      <c r="Q1403" s="283"/>
      <c r="R1403" s="283">
        <v>5</v>
      </c>
    </row>
    <row r="1404" spans="1:18" ht="24">
      <c r="A1404" s="279">
        <v>62.265000000000001</v>
      </c>
      <c r="B1404" s="272" t="s">
        <v>2460</v>
      </c>
      <c r="C1404" s="280" t="s">
        <v>2461</v>
      </c>
      <c r="D1404" s="281">
        <v>342.04</v>
      </c>
      <c r="E1404" s="281">
        <v>342.04</v>
      </c>
      <c r="F1404" s="281"/>
      <c r="G1404" s="281"/>
      <c r="H1404" s="282">
        <v>4463.82</v>
      </c>
      <c r="I1404" s="282">
        <v>4463.82</v>
      </c>
      <c r="J1404" s="282"/>
      <c r="K1404" s="282"/>
      <c r="L1404" s="357">
        <v>13.050578879663195</v>
      </c>
      <c r="M1404" s="357">
        <v>13.05</v>
      </c>
      <c r="N1404" s="357" t="s">
        <v>135</v>
      </c>
      <c r="O1404" s="357" t="s">
        <v>135</v>
      </c>
      <c r="P1404" s="283"/>
      <c r="Q1404" s="283"/>
      <c r="R1404" s="283">
        <v>5</v>
      </c>
    </row>
    <row r="1405" spans="1:18" ht="12.75">
      <c r="A1405" s="426" t="s">
        <v>2462</v>
      </c>
      <c r="B1405" s="427"/>
      <c r="C1405" s="427"/>
      <c r="D1405" s="427"/>
      <c r="E1405" s="427"/>
      <c r="F1405" s="427"/>
      <c r="G1405" s="427"/>
      <c r="H1405" s="427"/>
      <c r="I1405" s="427"/>
      <c r="J1405" s="427"/>
      <c r="K1405" s="427"/>
      <c r="L1405" s="427"/>
      <c r="M1405" s="427"/>
      <c r="N1405" s="427"/>
      <c r="O1405" s="427"/>
      <c r="P1405" s="427"/>
      <c r="Q1405" s="427"/>
      <c r="R1405" s="427"/>
    </row>
    <row r="1406" spans="1:18" ht="24">
      <c r="A1406" s="279">
        <v>62.265999999999998</v>
      </c>
      <c r="B1406" s="272" t="s">
        <v>2463</v>
      </c>
      <c r="C1406" s="280" t="s">
        <v>2462</v>
      </c>
      <c r="D1406" s="281">
        <v>43.86</v>
      </c>
      <c r="E1406" s="281">
        <v>35.14</v>
      </c>
      <c r="F1406" s="281"/>
      <c r="G1406" s="281">
        <v>8.7200000000000006</v>
      </c>
      <c r="H1406" s="282">
        <v>555.49</v>
      </c>
      <c r="I1406" s="282">
        <v>458.55</v>
      </c>
      <c r="J1406" s="282"/>
      <c r="K1406" s="282">
        <v>96.94</v>
      </c>
      <c r="L1406" s="357">
        <v>12.665070679434566</v>
      </c>
      <c r="M1406" s="357">
        <v>13.05</v>
      </c>
      <c r="N1406" s="357" t="s">
        <v>135</v>
      </c>
      <c r="O1406" s="357">
        <v>11.11697247706422</v>
      </c>
      <c r="P1406" s="283"/>
      <c r="Q1406" s="283"/>
      <c r="R1406" s="283">
        <v>6</v>
      </c>
    </row>
    <row r="1407" spans="1:18" ht="12.75">
      <c r="A1407" s="426" t="s">
        <v>2464</v>
      </c>
      <c r="B1407" s="427"/>
      <c r="C1407" s="427"/>
      <c r="D1407" s="427"/>
      <c r="E1407" s="427"/>
      <c r="F1407" s="427"/>
      <c r="G1407" s="427"/>
      <c r="H1407" s="427"/>
      <c r="I1407" s="427"/>
      <c r="J1407" s="427"/>
      <c r="K1407" s="427"/>
      <c r="L1407" s="427"/>
      <c r="M1407" s="427"/>
      <c r="N1407" s="427"/>
      <c r="O1407" s="427"/>
      <c r="P1407" s="427"/>
      <c r="Q1407" s="427"/>
      <c r="R1407" s="427"/>
    </row>
    <row r="1408" spans="1:18" ht="24">
      <c r="A1408" s="279">
        <v>62.267000000000003</v>
      </c>
      <c r="B1408" s="272" t="s">
        <v>2465</v>
      </c>
      <c r="C1408" s="280" t="s">
        <v>2466</v>
      </c>
      <c r="D1408" s="281">
        <v>165.89</v>
      </c>
      <c r="E1408" s="281">
        <v>157.51</v>
      </c>
      <c r="F1408" s="281"/>
      <c r="G1408" s="281">
        <v>8.3800000000000008</v>
      </c>
      <c r="H1408" s="282">
        <v>2132.92</v>
      </c>
      <c r="I1408" s="282">
        <v>2055.5500000000002</v>
      </c>
      <c r="J1408" s="282"/>
      <c r="K1408" s="282">
        <v>77.37</v>
      </c>
      <c r="L1408" s="357">
        <v>12.857435650129606</v>
      </c>
      <c r="M1408" s="357">
        <v>13.05</v>
      </c>
      <c r="N1408" s="357" t="s">
        <v>135</v>
      </c>
      <c r="O1408" s="357">
        <v>9.2326968973747015</v>
      </c>
      <c r="P1408" s="283"/>
      <c r="Q1408" s="283"/>
      <c r="R1408" s="283">
        <v>7</v>
      </c>
    </row>
    <row r="1409" spans="1:18" ht="24">
      <c r="A1409" s="279">
        <v>62.268000000000001</v>
      </c>
      <c r="B1409" s="272" t="s">
        <v>2467</v>
      </c>
      <c r="C1409" s="280" t="s">
        <v>2468</v>
      </c>
      <c r="D1409" s="281">
        <v>205.96</v>
      </c>
      <c r="E1409" s="281">
        <v>197.58</v>
      </c>
      <c r="F1409" s="281"/>
      <c r="G1409" s="281">
        <v>8.3800000000000008</v>
      </c>
      <c r="H1409" s="282">
        <v>2655.93</v>
      </c>
      <c r="I1409" s="282">
        <v>2578.56</v>
      </c>
      <c r="J1409" s="282"/>
      <c r="K1409" s="282">
        <v>77.37</v>
      </c>
      <c r="L1409" s="357">
        <v>12.895368032627694</v>
      </c>
      <c r="M1409" s="357">
        <v>13.05</v>
      </c>
      <c r="N1409" s="357" t="s">
        <v>135</v>
      </c>
      <c r="O1409" s="357">
        <v>9.2326968973747015</v>
      </c>
      <c r="P1409" s="283"/>
      <c r="Q1409" s="283"/>
      <c r="R1409" s="283">
        <v>7</v>
      </c>
    </row>
    <row r="1410" spans="1:18" ht="24">
      <c r="A1410" s="279">
        <v>62.268999999999998</v>
      </c>
      <c r="B1410" s="272" t="s">
        <v>2469</v>
      </c>
      <c r="C1410" s="280" t="s">
        <v>2470</v>
      </c>
      <c r="D1410" s="281">
        <v>197.58</v>
      </c>
      <c r="E1410" s="281">
        <v>189.2</v>
      </c>
      <c r="F1410" s="281"/>
      <c r="G1410" s="281">
        <v>8.3800000000000008</v>
      </c>
      <c r="H1410" s="282">
        <v>2546.46</v>
      </c>
      <c r="I1410" s="282">
        <v>2469.09</v>
      </c>
      <c r="J1410" s="282"/>
      <c r="K1410" s="282">
        <v>77.37</v>
      </c>
      <c r="L1410" s="357">
        <v>12.888247798360156</v>
      </c>
      <c r="M1410" s="357">
        <v>13.05</v>
      </c>
      <c r="N1410" s="357" t="s">
        <v>135</v>
      </c>
      <c r="O1410" s="357">
        <v>9.2326968973747015</v>
      </c>
      <c r="P1410" s="283"/>
      <c r="Q1410" s="283"/>
      <c r="R1410" s="283">
        <v>7</v>
      </c>
    </row>
    <row r="1411" spans="1:18" ht="12.75">
      <c r="A1411" s="426" t="s">
        <v>2471</v>
      </c>
      <c r="B1411" s="427"/>
      <c r="C1411" s="427"/>
      <c r="D1411" s="427"/>
      <c r="E1411" s="427"/>
      <c r="F1411" s="427"/>
      <c r="G1411" s="427"/>
      <c r="H1411" s="427"/>
      <c r="I1411" s="427"/>
      <c r="J1411" s="427"/>
      <c r="K1411" s="427"/>
      <c r="L1411" s="427"/>
      <c r="M1411" s="427"/>
      <c r="N1411" s="427"/>
      <c r="O1411" s="427"/>
      <c r="P1411" s="427"/>
      <c r="Q1411" s="427"/>
      <c r="R1411" s="427"/>
    </row>
    <row r="1412" spans="1:18" ht="24">
      <c r="A1412" s="279">
        <v>62.27</v>
      </c>
      <c r="B1412" s="272" t="s">
        <v>2472</v>
      </c>
      <c r="C1412" s="280" t="s">
        <v>2471</v>
      </c>
      <c r="D1412" s="281">
        <v>2089.9699999999998</v>
      </c>
      <c r="E1412" s="281">
        <v>359.75</v>
      </c>
      <c r="F1412" s="281">
        <v>74.900000000000006</v>
      </c>
      <c r="G1412" s="281">
        <v>1655.32</v>
      </c>
      <c r="H1412" s="282">
        <v>14204.77</v>
      </c>
      <c r="I1412" s="282">
        <v>4694.91</v>
      </c>
      <c r="J1412" s="282">
        <v>472.78</v>
      </c>
      <c r="K1412" s="282">
        <v>9037.08</v>
      </c>
      <c r="L1412" s="357">
        <v>6.7966382292568799</v>
      </c>
      <c r="M1412" s="357">
        <v>13.05</v>
      </c>
      <c r="N1412" s="357">
        <v>6.3121495327102792</v>
      </c>
      <c r="O1412" s="357">
        <v>5.4594157020998964</v>
      </c>
      <c r="P1412" s="283"/>
      <c r="Q1412" s="283"/>
      <c r="R1412" s="283">
        <v>8</v>
      </c>
    </row>
    <row r="1413" spans="1:18" ht="12.75">
      <c r="A1413" s="426" t="s">
        <v>2473</v>
      </c>
      <c r="B1413" s="427"/>
      <c r="C1413" s="427"/>
      <c r="D1413" s="427"/>
      <c r="E1413" s="427"/>
      <c r="F1413" s="427"/>
      <c r="G1413" s="427"/>
      <c r="H1413" s="427"/>
      <c r="I1413" s="427"/>
      <c r="J1413" s="427"/>
      <c r="K1413" s="427"/>
      <c r="L1413" s="427"/>
      <c r="M1413" s="427"/>
      <c r="N1413" s="427"/>
      <c r="O1413" s="427"/>
      <c r="P1413" s="427"/>
      <c r="Q1413" s="427"/>
      <c r="R1413" s="427"/>
    </row>
    <row r="1414" spans="1:18" ht="24">
      <c r="A1414" s="279">
        <v>62.271000000000001</v>
      </c>
      <c r="B1414" s="272" t="s">
        <v>2474</v>
      </c>
      <c r="C1414" s="280" t="s">
        <v>2475</v>
      </c>
      <c r="D1414" s="281">
        <v>27.59</v>
      </c>
      <c r="E1414" s="281">
        <v>17.73</v>
      </c>
      <c r="F1414" s="281">
        <v>8.4600000000000009</v>
      </c>
      <c r="G1414" s="281">
        <v>1.4</v>
      </c>
      <c r="H1414" s="282">
        <v>289.02999999999997</v>
      </c>
      <c r="I1414" s="282">
        <v>231.39</v>
      </c>
      <c r="J1414" s="282">
        <v>54.04</v>
      </c>
      <c r="K1414" s="282">
        <v>3.6</v>
      </c>
      <c r="L1414" s="357">
        <v>10.475897064153678</v>
      </c>
      <c r="M1414" s="357">
        <v>13.05</v>
      </c>
      <c r="N1414" s="357">
        <v>6.3877068557919614</v>
      </c>
      <c r="O1414" s="357">
        <v>2.5714285714285716</v>
      </c>
      <c r="P1414" s="283"/>
      <c r="Q1414" s="283"/>
      <c r="R1414" s="283">
        <v>9</v>
      </c>
    </row>
    <row r="1415" spans="1:18" ht="24">
      <c r="A1415" s="279">
        <v>62.271999999999998</v>
      </c>
      <c r="B1415" s="272" t="s">
        <v>2476</v>
      </c>
      <c r="C1415" s="280" t="s">
        <v>2477</v>
      </c>
      <c r="D1415" s="281">
        <v>29.6</v>
      </c>
      <c r="E1415" s="281">
        <v>19.059999999999999</v>
      </c>
      <c r="F1415" s="281">
        <v>9.06</v>
      </c>
      <c r="G1415" s="281">
        <v>1.48</v>
      </c>
      <c r="H1415" s="282">
        <v>310.36</v>
      </c>
      <c r="I1415" s="282">
        <v>248.67</v>
      </c>
      <c r="J1415" s="282">
        <v>57.88</v>
      </c>
      <c r="K1415" s="282">
        <v>3.81</v>
      </c>
      <c r="L1415" s="357">
        <v>10.485135135135135</v>
      </c>
      <c r="M1415" s="357">
        <v>13.05</v>
      </c>
      <c r="N1415" s="357">
        <v>6.3885209713024285</v>
      </c>
      <c r="O1415" s="357">
        <v>2.5743243243243246</v>
      </c>
      <c r="P1415" s="283"/>
      <c r="Q1415" s="283"/>
      <c r="R1415" s="283">
        <v>9</v>
      </c>
    </row>
    <row r="1416" spans="1:18" ht="24">
      <c r="A1416" s="279">
        <v>62.273000000000003</v>
      </c>
      <c r="B1416" s="272" t="s">
        <v>2478</v>
      </c>
      <c r="C1416" s="280" t="s">
        <v>2479</v>
      </c>
      <c r="D1416" s="281">
        <v>30.86</v>
      </c>
      <c r="E1416" s="281">
        <v>19.87</v>
      </c>
      <c r="F1416" s="281">
        <v>9.51</v>
      </c>
      <c r="G1416" s="281">
        <v>1.48</v>
      </c>
      <c r="H1416" s="282">
        <v>323.88</v>
      </c>
      <c r="I1416" s="282">
        <v>259.31</v>
      </c>
      <c r="J1416" s="282">
        <v>60.76</v>
      </c>
      <c r="K1416" s="282">
        <v>3.81</v>
      </c>
      <c r="L1416" s="357">
        <v>10.495139338950096</v>
      </c>
      <c r="M1416" s="357">
        <v>13.05</v>
      </c>
      <c r="N1416" s="357">
        <v>6.3890641430073609</v>
      </c>
      <c r="O1416" s="357">
        <v>2.5743243243243246</v>
      </c>
      <c r="P1416" s="283"/>
      <c r="Q1416" s="283"/>
      <c r="R1416" s="283">
        <v>9</v>
      </c>
    </row>
    <row r="1417" spans="1:18" ht="24">
      <c r="A1417" s="279">
        <v>62.274000000000001</v>
      </c>
      <c r="B1417" s="272" t="s">
        <v>2480</v>
      </c>
      <c r="C1417" s="280" t="s">
        <v>2481</v>
      </c>
      <c r="D1417" s="281">
        <v>32.71</v>
      </c>
      <c r="E1417" s="281">
        <v>21.09</v>
      </c>
      <c r="F1417" s="281">
        <v>10.06</v>
      </c>
      <c r="G1417" s="281">
        <v>1.56</v>
      </c>
      <c r="H1417" s="282">
        <v>343.57</v>
      </c>
      <c r="I1417" s="282">
        <v>275.27</v>
      </c>
      <c r="J1417" s="282">
        <v>64.28</v>
      </c>
      <c r="K1417" s="282">
        <v>4.0199999999999996</v>
      </c>
      <c r="L1417" s="357">
        <v>10.503515744420666</v>
      </c>
      <c r="M1417" s="357">
        <v>13.05</v>
      </c>
      <c r="N1417" s="357">
        <v>6.3896620278330021</v>
      </c>
      <c r="O1417" s="357">
        <v>2.5769230769230766</v>
      </c>
      <c r="P1417" s="283"/>
      <c r="Q1417" s="283"/>
      <c r="R1417" s="283">
        <v>9</v>
      </c>
    </row>
    <row r="1418" spans="1:18" ht="36">
      <c r="A1418" s="279">
        <v>62.274999999999999</v>
      </c>
      <c r="B1418" s="272" t="s">
        <v>2482</v>
      </c>
      <c r="C1418" s="280" t="s">
        <v>2483</v>
      </c>
      <c r="D1418" s="281">
        <v>34.85</v>
      </c>
      <c r="E1418" s="281">
        <v>23.13</v>
      </c>
      <c r="F1418" s="281">
        <v>10.99</v>
      </c>
      <c r="G1418" s="281">
        <v>0.73</v>
      </c>
      <c r="H1418" s="282">
        <v>373.08</v>
      </c>
      <c r="I1418" s="282">
        <v>301.86</v>
      </c>
      <c r="J1418" s="282">
        <v>70.25</v>
      </c>
      <c r="K1418" s="282">
        <v>0.97</v>
      </c>
      <c r="L1418" s="357">
        <v>10.705308464849354</v>
      </c>
      <c r="M1418" s="357">
        <v>13.05</v>
      </c>
      <c r="N1418" s="357">
        <v>6.3921747042766146</v>
      </c>
      <c r="O1418" s="357">
        <v>1.3287671232876712</v>
      </c>
      <c r="P1418" s="283"/>
      <c r="Q1418" s="283"/>
      <c r="R1418" s="283">
        <v>9</v>
      </c>
    </row>
    <row r="1419" spans="1:18" ht="12.75">
      <c r="A1419" s="426" t="s">
        <v>2484</v>
      </c>
      <c r="B1419" s="427"/>
      <c r="C1419" s="427"/>
      <c r="D1419" s="427"/>
      <c r="E1419" s="427"/>
      <c r="F1419" s="427"/>
      <c r="G1419" s="427"/>
      <c r="H1419" s="427"/>
      <c r="I1419" s="427"/>
      <c r="J1419" s="427"/>
      <c r="K1419" s="427"/>
      <c r="L1419" s="427"/>
      <c r="M1419" s="427"/>
      <c r="N1419" s="427"/>
      <c r="O1419" s="427"/>
      <c r="P1419" s="427"/>
      <c r="Q1419" s="427"/>
      <c r="R1419" s="427"/>
    </row>
    <row r="1420" spans="1:18" ht="24">
      <c r="A1420" s="279">
        <v>62.276000000000003</v>
      </c>
      <c r="B1420" s="272" t="s">
        <v>2485</v>
      </c>
      <c r="C1420" s="280" t="s">
        <v>2484</v>
      </c>
      <c r="D1420" s="281">
        <v>105071.78</v>
      </c>
      <c r="E1420" s="281">
        <v>836.5</v>
      </c>
      <c r="F1420" s="281"/>
      <c r="G1420" s="281">
        <v>104235.28</v>
      </c>
      <c r="H1420" s="282">
        <v>576263.07999999996</v>
      </c>
      <c r="I1420" s="282">
        <v>10916.33</v>
      </c>
      <c r="J1420" s="282"/>
      <c r="K1420" s="282">
        <v>565346.75</v>
      </c>
      <c r="L1420" s="357">
        <v>5.4844705210095421</v>
      </c>
      <c r="M1420" s="357">
        <v>13.05</v>
      </c>
      <c r="N1420" s="357" t="s">
        <v>135</v>
      </c>
      <c r="O1420" s="357">
        <v>5.4237562368518608</v>
      </c>
      <c r="P1420" s="283"/>
      <c r="Q1420" s="283"/>
      <c r="R1420" s="283">
        <v>10</v>
      </c>
    </row>
    <row r="1421" spans="1:18" ht="12.75">
      <c r="A1421" s="270"/>
      <c r="B1421" s="276"/>
      <c r="C1421" s="275"/>
      <c r="D1421" s="277"/>
      <c r="E1421" s="277"/>
      <c r="F1421" s="277"/>
      <c r="G1421" s="277"/>
      <c r="H1421" s="278"/>
      <c r="I1421" s="278"/>
      <c r="J1421" s="278"/>
      <c r="K1421" s="278"/>
      <c r="L1421" s="355"/>
      <c r="M1421" s="355"/>
      <c r="N1421" s="355"/>
      <c r="O1421" s="354"/>
      <c r="P1421" s="269"/>
      <c r="Q1421" s="269"/>
      <c r="R1421" s="269"/>
    </row>
    <row r="1422" spans="1:18">
      <c r="A1422" s="250"/>
      <c r="B1422" s="253"/>
      <c r="C1422" s="250"/>
      <c r="D1422" s="250"/>
      <c r="E1422" s="250"/>
      <c r="F1422" s="250"/>
      <c r="G1422" s="250"/>
      <c r="H1422" s="252"/>
      <c r="I1422" s="252"/>
      <c r="J1422" s="252"/>
      <c r="K1422" s="252"/>
      <c r="O1422" s="353"/>
      <c r="P1422" s="250"/>
      <c r="Q1422" s="250"/>
      <c r="R1422" s="250"/>
    </row>
    <row r="1423" spans="1:18">
      <c r="O1423" s="353"/>
    </row>
    <row r="1424" spans="1:18">
      <c r="O1424" s="352"/>
    </row>
    <row r="1425" spans="1:18" ht="23.25">
      <c r="A1425" s="61"/>
      <c r="B1425" s="60"/>
      <c r="C1425" s="45" t="s">
        <v>2486</v>
      </c>
      <c r="D1425" s="45"/>
      <c r="E1425" s="45"/>
      <c r="F1425" s="45"/>
      <c r="G1425" s="45"/>
      <c r="H1425" s="58"/>
      <c r="I1425" s="58"/>
      <c r="J1425" s="58"/>
      <c r="K1425" s="58"/>
      <c r="L1425" s="351"/>
      <c r="M1425" s="351"/>
      <c r="N1425" s="351"/>
      <c r="O1425" s="350"/>
    </row>
    <row r="1426" spans="1:18" ht="12.75">
      <c r="A1426" s="428" t="s">
        <v>2487</v>
      </c>
      <c r="B1426" s="429"/>
      <c r="C1426" s="429"/>
      <c r="D1426" s="429"/>
      <c r="E1426" s="429"/>
      <c r="F1426" s="429"/>
      <c r="G1426" s="429"/>
      <c r="H1426" s="429"/>
      <c r="I1426" s="429"/>
      <c r="J1426" s="429"/>
      <c r="K1426" s="429"/>
      <c r="L1426" s="429"/>
      <c r="M1426" s="429"/>
      <c r="N1426" s="429"/>
      <c r="O1426" s="429"/>
      <c r="P1426" s="429"/>
      <c r="Q1426" s="429"/>
      <c r="R1426" s="429"/>
    </row>
    <row r="1427" spans="1:18" ht="36">
      <c r="A1427" s="300">
        <v>63.1</v>
      </c>
      <c r="B1427" s="293" t="s">
        <v>2488</v>
      </c>
      <c r="C1427" s="301" t="s">
        <v>2489</v>
      </c>
      <c r="D1427" s="302">
        <v>8440.16</v>
      </c>
      <c r="E1427" s="302">
        <v>3167.87</v>
      </c>
      <c r="F1427" s="302">
        <v>35.380000000000003</v>
      </c>
      <c r="G1427" s="302">
        <v>5236.91</v>
      </c>
      <c r="H1427" s="303">
        <v>63190.84</v>
      </c>
      <c r="I1427" s="303">
        <v>41340.82</v>
      </c>
      <c r="J1427" s="303">
        <v>202.14</v>
      </c>
      <c r="K1427" s="303">
        <v>21647.88</v>
      </c>
      <c r="L1427" s="357">
        <v>7.4869244184944357</v>
      </c>
      <c r="M1427" s="357">
        <v>13.05</v>
      </c>
      <c r="N1427" s="357">
        <v>5.7133973996608249</v>
      </c>
      <c r="O1427" s="357">
        <v>4.1337124372960394</v>
      </c>
      <c r="P1427" s="304"/>
      <c r="Q1427" s="304"/>
      <c r="R1427" s="304">
        <v>1</v>
      </c>
    </row>
    <row r="1428" spans="1:18" ht="36">
      <c r="A1428" s="300">
        <v>63.2</v>
      </c>
      <c r="B1428" s="293" t="s">
        <v>2490</v>
      </c>
      <c r="C1428" s="301" t="s">
        <v>2491</v>
      </c>
      <c r="D1428" s="302">
        <v>6639.83</v>
      </c>
      <c r="E1428" s="302">
        <v>2000.3</v>
      </c>
      <c r="F1428" s="302">
        <v>35.380000000000003</v>
      </c>
      <c r="G1428" s="302">
        <v>4604.1499999999996</v>
      </c>
      <c r="H1428" s="303">
        <v>45892.17</v>
      </c>
      <c r="I1428" s="303">
        <v>26103.97</v>
      </c>
      <c r="J1428" s="303">
        <v>202.14</v>
      </c>
      <c r="K1428" s="303">
        <v>19586.060000000001</v>
      </c>
      <c r="L1428" s="357">
        <v>6.9116483403942572</v>
      </c>
      <c r="M1428" s="357">
        <v>13.05</v>
      </c>
      <c r="N1428" s="357">
        <v>5.7133973996608249</v>
      </c>
      <c r="O1428" s="357">
        <v>4.2540012814526031</v>
      </c>
      <c r="P1428" s="304"/>
      <c r="Q1428" s="304"/>
      <c r="R1428" s="304">
        <v>1</v>
      </c>
    </row>
    <row r="1429" spans="1:18" ht="36">
      <c r="A1429" s="300">
        <v>63.3</v>
      </c>
      <c r="B1429" s="293" t="s">
        <v>2492</v>
      </c>
      <c r="C1429" s="301" t="s">
        <v>2493</v>
      </c>
      <c r="D1429" s="302">
        <v>5306.86</v>
      </c>
      <c r="E1429" s="302">
        <v>1404.18</v>
      </c>
      <c r="F1429" s="302">
        <v>35.380000000000003</v>
      </c>
      <c r="G1429" s="302">
        <v>3867.3</v>
      </c>
      <c r="H1429" s="303">
        <v>35535.51</v>
      </c>
      <c r="I1429" s="303">
        <v>18324.64</v>
      </c>
      <c r="J1429" s="303">
        <v>202.14</v>
      </c>
      <c r="K1429" s="303">
        <v>17008.73</v>
      </c>
      <c r="L1429" s="357">
        <v>6.6961461203046628</v>
      </c>
      <c r="M1429" s="357">
        <v>13.05</v>
      </c>
      <c r="N1429" s="357">
        <v>5.7133973996608249</v>
      </c>
      <c r="O1429" s="357">
        <v>4.3980891060946909</v>
      </c>
      <c r="P1429" s="304"/>
      <c r="Q1429" s="304"/>
      <c r="R1429" s="304">
        <v>1</v>
      </c>
    </row>
    <row r="1430" spans="1:18" ht="36">
      <c r="A1430" s="300">
        <v>63.4</v>
      </c>
      <c r="B1430" s="293" t="s">
        <v>2494</v>
      </c>
      <c r="C1430" s="301" t="s">
        <v>2495</v>
      </c>
      <c r="D1430" s="302">
        <v>7793.08</v>
      </c>
      <c r="E1430" s="302">
        <v>3311.75</v>
      </c>
      <c r="F1430" s="302">
        <v>35.380000000000003</v>
      </c>
      <c r="G1430" s="302">
        <v>4445.95</v>
      </c>
      <c r="H1430" s="303">
        <v>65922.850000000006</v>
      </c>
      <c r="I1430" s="303">
        <v>43218.5</v>
      </c>
      <c r="J1430" s="303">
        <v>202.14</v>
      </c>
      <c r="K1430" s="303">
        <v>22502.21</v>
      </c>
      <c r="L1430" s="357">
        <v>8.4591522222279263</v>
      </c>
      <c r="M1430" s="357">
        <v>13.05</v>
      </c>
      <c r="N1430" s="357">
        <v>5.7133973996608249</v>
      </c>
      <c r="O1430" s="357">
        <v>5.0612827404716656</v>
      </c>
      <c r="P1430" s="304"/>
      <c r="Q1430" s="304"/>
      <c r="R1430" s="304">
        <v>1</v>
      </c>
    </row>
    <row r="1431" spans="1:18" ht="36">
      <c r="A1431" s="300">
        <v>63.5</v>
      </c>
      <c r="B1431" s="293" t="s">
        <v>2496</v>
      </c>
      <c r="C1431" s="301" t="s">
        <v>2497</v>
      </c>
      <c r="D1431" s="302">
        <v>5579.75</v>
      </c>
      <c r="E1431" s="302">
        <v>1934.06</v>
      </c>
      <c r="F1431" s="302">
        <v>35.380000000000003</v>
      </c>
      <c r="G1431" s="302">
        <v>3610.31</v>
      </c>
      <c r="H1431" s="303">
        <v>43595.05</v>
      </c>
      <c r="I1431" s="303">
        <v>25239.599999999999</v>
      </c>
      <c r="J1431" s="303">
        <v>202.14</v>
      </c>
      <c r="K1431" s="303">
        <v>18153.310000000001</v>
      </c>
      <c r="L1431" s="357">
        <v>7.8130830234329505</v>
      </c>
      <c r="M1431" s="357">
        <v>13.05</v>
      </c>
      <c r="N1431" s="357">
        <v>5.7133973996608249</v>
      </c>
      <c r="O1431" s="357">
        <v>5.0281859452512396</v>
      </c>
      <c r="P1431" s="304"/>
      <c r="Q1431" s="304"/>
      <c r="R1431" s="304">
        <v>1</v>
      </c>
    </row>
    <row r="1432" spans="1:18" ht="36">
      <c r="A1432" s="300">
        <v>63.6</v>
      </c>
      <c r="B1432" s="293" t="s">
        <v>2498</v>
      </c>
      <c r="C1432" s="301" t="s">
        <v>2499</v>
      </c>
      <c r="D1432" s="302">
        <v>4731.5200000000004</v>
      </c>
      <c r="E1432" s="302">
        <v>1430.68</v>
      </c>
      <c r="F1432" s="302">
        <v>35.380000000000003</v>
      </c>
      <c r="G1432" s="302">
        <v>3265.46</v>
      </c>
      <c r="H1432" s="303">
        <v>35240.74</v>
      </c>
      <c r="I1432" s="303">
        <v>18670.39</v>
      </c>
      <c r="J1432" s="303">
        <v>202.14</v>
      </c>
      <c r="K1432" s="303">
        <v>16368.21</v>
      </c>
      <c r="L1432" s="357">
        <v>7.4480801095630991</v>
      </c>
      <c r="M1432" s="357">
        <v>13.05</v>
      </c>
      <c r="N1432" s="357">
        <v>5.7133973996608249</v>
      </c>
      <c r="O1432" s="357">
        <v>5.0125280971134236</v>
      </c>
      <c r="P1432" s="304"/>
      <c r="Q1432" s="304"/>
      <c r="R1432" s="304">
        <v>1</v>
      </c>
    </row>
    <row r="1433" spans="1:18" ht="24">
      <c r="A1433" s="300">
        <v>63.7</v>
      </c>
      <c r="B1433" s="293" t="s">
        <v>2500</v>
      </c>
      <c r="C1433" s="301" t="s">
        <v>2501</v>
      </c>
      <c r="D1433" s="302">
        <v>861.06</v>
      </c>
      <c r="E1433" s="302">
        <v>861.06</v>
      </c>
      <c r="F1433" s="302"/>
      <c r="G1433" s="302"/>
      <c r="H1433" s="303">
        <v>11236.81</v>
      </c>
      <c r="I1433" s="303">
        <v>11236.81</v>
      </c>
      <c r="J1433" s="303"/>
      <c r="K1433" s="303"/>
      <c r="L1433" s="357">
        <v>13.049973288737139</v>
      </c>
      <c r="M1433" s="357">
        <v>13.05</v>
      </c>
      <c r="N1433" s="357" t="s">
        <v>135</v>
      </c>
      <c r="O1433" s="357" t="s">
        <v>135</v>
      </c>
      <c r="P1433" s="304"/>
      <c r="Q1433" s="304"/>
      <c r="R1433" s="304">
        <v>1</v>
      </c>
    </row>
    <row r="1434" spans="1:18" ht="24">
      <c r="A1434" s="300">
        <v>63.8</v>
      </c>
      <c r="B1434" s="293" t="s">
        <v>2502</v>
      </c>
      <c r="C1434" s="301" t="s">
        <v>2503</v>
      </c>
      <c r="D1434" s="302">
        <v>484.84</v>
      </c>
      <c r="E1434" s="302">
        <v>484.84</v>
      </c>
      <c r="F1434" s="302"/>
      <c r="G1434" s="302"/>
      <c r="H1434" s="303">
        <v>6327.19</v>
      </c>
      <c r="I1434" s="303">
        <v>6327.19</v>
      </c>
      <c r="J1434" s="303"/>
      <c r="K1434" s="303"/>
      <c r="L1434" s="357">
        <v>13.050057751010643</v>
      </c>
      <c r="M1434" s="357">
        <v>13.05</v>
      </c>
      <c r="N1434" s="357" t="s">
        <v>135</v>
      </c>
      <c r="O1434" s="357" t="s">
        <v>135</v>
      </c>
      <c r="P1434" s="304"/>
      <c r="Q1434" s="304"/>
      <c r="R1434" s="304">
        <v>1</v>
      </c>
    </row>
    <row r="1435" spans="1:18" ht="24">
      <c r="A1435" s="300">
        <v>63.9</v>
      </c>
      <c r="B1435" s="293" t="s">
        <v>2504</v>
      </c>
      <c r="C1435" s="301" t="s">
        <v>2505</v>
      </c>
      <c r="D1435" s="302">
        <v>337.8</v>
      </c>
      <c r="E1435" s="302">
        <v>337.8</v>
      </c>
      <c r="F1435" s="302"/>
      <c r="G1435" s="302"/>
      <c r="H1435" s="303">
        <v>4408.29</v>
      </c>
      <c r="I1435" s="303">
        <v>4408.29</v>
      </c>
      <c r="J1435" s="303"/>
      <c r="K1435" s="303"/>
      <c r="L1435" s="357">
        <v>13.049999999999999</v>
      </c>
      <c r="M1435" s="357">
        <v>13.05</v>
      </c>
      <c r="N1435" s="357" t="s">
        <v>135</v>
      </c>
      <c r="O1435" s="357" t="s">
        <v>135</v>
      </c>
      <c r="P1435" s="304"/>
      <c r="Q1435" s="304"/>
      <c r="R1435" s="304">
        <v>1</v>
      </c>
    </row>
    <row r="1436" spans="1:18" ht="24">
      <c r="A1436" s="300">
        <v>63.1</v>
      </c>
      <c r="B1436" s="293" t="s">
        <v>2506</v>
      </c>
      <c r="C1436" s="301" t="s">
        <v>2507</v>
      </c>
      <c r="D1436" s="302">
        <v>808.07</v>
      </c>
      <c r="E1436" s="302">
        <v>808.07</v>
      </c>
      <c r="F1436" s="302"/>
      <c r="G1436" s="302"/>
      <c r="H1436" s="303">
        <v>10545.31</v>
      </c>
      <c r="I1436" s="303">
        <v>10545.31</v>
      </c>
      <c r="J1436" s="303"/>
      <c r="K1436" s="303"/>
      <c r="L1436" s="357">
        <v>13.049995668692068</v>
      </c>
      <c r="M1436" s="357">
        <v>13.05</v>
      </c>
      <c r="N1436" s="357" t="s">
        <v>135</v>
      </c>
      <c r="O1436" s="357" t="s">
        <v>135</v>
      </c>
      <c r="P1436" s="304"/>
      <c r="Q1436" s="304"/>
      <c r="R1436" s="304">
        <v>1</v>
      </c>
    </row>
    <row r="1437" spans="1:18" ht="24">
      <c r="A1437" s="300">
        <v>63.11</v>
      </c>
      <c r="B1437" s="293" t="s">
        <v>2508</v>
      </c>
      <c r="C1437" s="301" t="s">
        <v>2509</v>
      </c>
      <c r="D1437" s="302">
        <v>466.7</v>
      </c>
      <c r="E1437" s="302">
        <v>466.7</v>
      </c>
      <c r="F1437" s="302"/>
      <c r="G1437" s="302"/>
      <c r="H1437" s="303">
        <v>6090.48</v>
      </c>
      <c r="I1437" s="303">
        <v>6090.48</v>
      </c>
      <c r="J1437" s="303"/>
      <c r="K1437" s="303"/>
      <c r="L1437" s="357">
        <v>13.050096421684165</v>
      </c>
      <c r="M1437" s="357">
        <v>13.05</v>
      </c>
      <c r="N1437" s="357" t="s">
        <v>135</v>
      </c>
      <c r="O1437" s="357" t="s">
        <v>135</v>
      </c>
      <c r="P1437" s="304"/>
      <c r="Q1437" s="304"/>
      <c r="R1437" s="304">
        <v>1</v>
      </c>
    </row>
    <row r="1438" spans="1:18" ht="24">
      <c r="A1438" s="300">
        <v>63.12</v>
      </c>
      <c r="B1438" s="293" t="s">
        <v>2510</v>
      </c>
      <c r="C1438" s="301" t="s">
        <v>2511</v>
      </c>
      <c r="D1438" s="302">
        <v>261.88</v>
      </c>
      <c r="E1438" s="302">
        <v>261.88</v>
      </c>
      <c r="F1438" s="302"/>
      <c r="G1438" s="302"/>
      <c r="H1438" s="303">
        <v>3417.59</v>
      </c>
      <c r="I1438" s="303">
        <v>3417.59</v>
      </c>
      <c r="J1438" s="303"/>
      <c r="K1438" s="303"/>
      <c r="L1438" s="357">
        <v>13.050213838399268</v>
      </c>
      <c r="M1438" s="357">
        <v>13.05</v>
      </c>
      <c r="N1438" s="357" t="s">
        <v>135</v>
      </c>
      <c r="O1438" s="357" t="s">
        <v>135</v>
      </c>
      <c r="P1438" s="304"/>
      <c r="Q1438" s="304"/>
      <c r="R1438" s="304">
        <v>1</v>
      </c>
    </row>
    <row r="1439" spans="1:18">
      <c r="A1439" s="300">
        <v>63.13</v>
      </c>
      <c r="B1439" s="293" t="s">
        <v>2512</v>
      </c>
      <c r="C1439" s="301" t="s">
        <v>2513</v>
      </c>
      <c r="D1439" s="302">
        <v>695.47</v>
      </c>
      <c r="E1439" s="302">
        <v>695.47</v>
      </c>
      <c r="F1439" s="302"/>
      <c r="G1439" s="302"/>
      <c r="H1439" s="303">
        <v>9075.89</v>
      </c>
      <c r="I1439" s="303">
        <v>9075.89</v>
      </c>
      <c r="J1439" s="303"/>
      <c r="K1439" s="303"/>
      <c r="L1439" s="357">
        <v>13.050009346197534</v>
      </c>
      <c r="M1439" s="357">
        <v>13.05</v>
      </c>
      <c r="N1439" s="357" t="s">
        <v>135</v>
      </c>
      <c r="O1439" s="357" t="s">
        <v>135</v>
      </c>
      <c r="P1439" s="304"/>
      <c r="Q1439" s="304"/>
      <c r="R1439" s="304">
        <v>1</v>
      </c>
    </row>
    <row r="1440" spans="1:18">
      <c r="A1440" s="300">
        <v>63.14</v>
      </c>
      <c r="B1440" s="293" t="s">
        <v>2514</v>
      </c>
      <c r="C1440" s="301" t="s">
        <v>2515</v>
      </c>
      <c r="D1440" s="302">
        <v>388.14</v>
      </c>
      <c r="E1440" s="302">
        <v>388.14</v>
      </c>
      <c r="F1440" s="302"/>
      <c r="G1440" s="302"/>
      <c r="H1440" s="303">
        <v>5065.21</v>
      </c>
      <c r="I1440" s="303">
        <v>5065.21</v>
      </c>
      <c r="J1440" s="303"/>
      <c r="K1440" s="303"/>
      <c r="L1440" s="357">
        <v>13.049956201370639</v>
      </c>
      <c r="M1440" s="357">
        <v>13.05</v>
      </c>
      <c r="N1440" s="357" t="s">
        <v>135</v>
      </c>
      <c r="O1440" s="357" t="s">
        <v>135</v>
      </c>
      <c r="P1440" s="304"/>
      <c r="Q1440" s="304"/>
      <c r="R1440" s="304">
        <v>1</v>
      </c>
    </row>
    <row r="1441" spans="1:18">
      <c r="A1441" s="300">
        <v>63.15</v>
      </c>
      <c r="B1441" s="293" t="s">
        <v>2516</v>
      </c>
      <c r="C1441" s="301" t="s">
        <v>2517</v>
      </c>
      <c r="D1441" s="302">
        <v>270.24</v>
      </c>
      <c r="E1441" s="302">
        <v>270.24</v>
      </c>
      <c r="F1441" s="302"/>
      <c r="G1441" s="302"/>
      <c r="H1441" s="303">
        <v>3526.63</v>
      </c>
      <c r="I1441" s="303">
        <v>3526.63</v>
      </c>
      <c r="J1441" s="303"/>
      <c r="K1441" s="303"/>
      <c r="L1441" s="357">
        <v>13.049992599171107</v>
      </c>
      <c r="M1441" s="357">
        <v>13.05</v>
      </c>
      <c r="N1441" s="357" t="s">
        <v>135</v>
      </c>
      <c r="O1441" s="357" t="s">
        <v>135</v>
      </c>
      <c r="P1441" s="304"/>
      <c r="Q1441" s="304"/>
      <c r="R1441" s="304">
        <v>1</v>
      </c>
    </row>
    <row r="1442" spans="1:18">
      <c r="A1442" s="300">
        <v>63.16</v>
      </c>
      <c r="B1442" s="293" t="s">
        <v>2518</v>
      </c>
      <c r="C1442" s="301" t="s">
        <v>2519</v>
      </c>
      <c r="D1442" s="302">
        <v>649.1</v>
      </c>
      <c r="E1442" s="302">
        <v>649.1</v>
      </c>
      <c r="F1442" s="302"/>
      <c r="G1442" s="302"/>
      <c r="H1442" s="303">
        <v>8470.83</v>
      </c>
      <c r="I1442" s="303">
        <v>8470.83</v>
      </c>
      <c r="J1442" s="303"/>
      <c r="K1442" s="303"/>
      <c r="L1442" s="357">
        <v>13.050115544600216</v>
      </c>
      <c r="M1442" s="357">
        <v>13.05</v>
      </c>
      <c r="N1442" s="357" t="s">
        <v>135</v>
      </c>
      <c r="O1442" s="357" t="s">
        <v>135</v>
      </c>
      <c r="P1442" s="304"/>
      <c r="Q1442" s="304"/>
      <c r="R1442" s="304">
        <v>1</v>
      </c>
    </row>
    <row r="1443" spans="1:18">
      <c r="A1443" s="300">
        <v>63.17</v>
      </c>
      <c r="B1443" s="293" t="s">
        <v>2520</v>
      </c>
      <c r="C1443" s="301" t="s">
        <v>2521</v>
      </c>
      <c r="D1443" s="302">
        <v>343</v>
      </c>
      <c r="E1443" s="302">
        <v>343</v>
      </c>
      <c r="F1443" s="302"/>
      <c r="G1443" s="302"/>
      <c r="H1443" s="303">
        <v>4476.1099999999997</v>
      </c>
      <c r="I1443" s="303">
        <v>4476.1099999999997</v>
      </c>
      <c r="J1443" s="303"/>
      <c r="K1443" s="303"/>
      <c r="L1443" s="357">
        <v>13.049883381924197</v>
      </c>
      <c r="M1443" s="357">
        <v>13.05</v>
      </c>
      <c r="N1443" s="357" t="s">
        <v>135</v>
      </c>
      <c r="O1443" s="357" t="s">
        <v>135</v>
      </c>
      <c r="P1443" s="304"/>
      <c r="Q1443" s="304"/>
      <c r="R1443" s="304">
        <v>1</v>
      </c>
    </row>
    <row r="1444" spans="1:18">
      <c r="A1444" s="305">
        <v>63.18</v>
      </c>
      <c r="B1444" s="306" t="s">
        <v>2522</v>
      </c>
      <c r="C1444" s="307" t="s">
        <v>2523</v>
      </c>
      <c r="D1444" s="308">
        <v>271.56</v>
      </c>
      <c r="E1444" s="308">
        <v>271.56</v>
      </c>
      <c r="F1444" s="308"/>
      <c r="G1444" s="308"/>
      <c r="H1444" s="309">
        <v>3543.92</v>
      </c>
      <c r="I1444" s="309">
        <v>3543.92</v>
      </c>
      <c r="J1444" s="309"/>
      <c r="K1444" s="309"/>
      <c r="L1444" s="356">
        <v>13.050228310502284</v>
      </c>
      <c r="M1444" s="356">
        <v>13.05</v>
      </c>
      <c r="N1444" s="356" t="s">
        <v>135</v>
      </c>
      <c r="O1444" s="356" t="s">
        <v>135</v>
      </c>
      <c r="P1444" s="310"/>
      <c r="Q1444" s="310"/>
      <c r="R1444" s="310">
        <v>1</v>
      </c>
    </row>
    <row r="1445" spans="1:18" ht="12.75">
      <c r="A1445" s="428" t="s">
        <v>2524</v>
      </c>
      <c r="B1445" s="429"/>
      <c r="C1445" s="429"/>
      <c r="D1445" s="429"/>
      <c r="E1445" s="429"/>
      <c r="F1445" s="429"/>
      <c r="G1445" s="429"/>
      <c r="H1445" s="429"/>
      <c r="I1445" s="429"/>
      <c r="J1445" s="429"/>
      <c r="K1445" s="429"/>
      <c r="L1445" s="429"/>
      <c r="M1445" s="429"/>
      <c r="N1445" s="429"/>
      <c r="O1445" s="429"/>
      <c r="P1445" s="429"/>
      <c r="Q1445" s="429"/>
      <c r="R1445" s="429"/>
    </row>
    <row r="1446" spans="1:18" ht="36">
      <c r="A1446" s="300">
        <v>63.19</v>
      </c>
      <c r="B1446" s="293" t="s">
        <v>2525</v>
      </c>
      <c r="C1446" s="301" t="s">
        <v>2526</v>
      </c>
      <c r="D1446" s="302">
        <v>7681.27</v>
      </c>
      <c r="E1446" s="302">
        <v>2096.37</v>
      </c>
      <c r="F1446" s="302">
        <v>35.380000000000003</v>
      </c>
      <c r="G1446" s="302">
        <v>5549.52</v>
      </c>
      <c r="H1446" s="303">
        <v>50507.06</v>
      </c>
      <c r="I1446" s="303">
        <v>27357.88</v>
      </c>
      <c r="J1446" s="303">
        <v>202.14</v>
      </c>
      <c r="K1446" s="303">
        <v>22947.040000000001</v>
      </c>
      <c r="L1446" s="357">
        <v>6.5753527736949744</v>
      </c>
      <c r="M1446" s="357">
        <v>13.05</v>
      </c>
      <c r="N1446" s="357">
        <v>5.7133973996608249</v>
      </c>
      <c r="O1446" s="357">
        <v>4.1349594199137938</v>
      </c>
      <c r="P1446" s="304"/>
      <c r="Q1446" s="304"/>
      <c r="R1446" s="304">
        <v>2</v>
      </c>
    </row>
    <row r="1447" spans="1:18" ht="36">
      <c r="A1447" s="300">
        <v>63.2</v>
      </c>
      <c r="B1447" s="293" t="s">
        <v>2527</v>
      </c>
      <c r="C1447" s="301" t="s">
        <v>2528</v>
      </c>
      <c r="D1447" s="302">
        <v>6331.18</v>
      </c>
      <c r="E1447" s="302">
        <v>1483.14</v>
      </c>
      <c r="F1447" s="302">
        <v>35.380000000000003</v>
      </c>
      <c r="G1447" s="302">
        <v>4812.66</v>
      </c>
      <c r="H1447" s="303">
        <v>39927.089999999997</v>
      </c>
      <c r="I1447" s="303">
        <v>19355.23</v>
      </c>
      <c r="J1447" s="303">
        <v>202.14</v>
      </c>
      <c r="K1447" s="303">
        <v>20369.72</v>
      </c>
      <c r="L1447" s="357">
        <v>6.3064215517486462</v>
      </c>
      <c r="M1447" s="357">
        <v>13.05</v>
      </c>
      <c r="N1447" s="357">
        <v>5.7133973996608249</v>
      </c>
      <c r="O1447" s="357">
        <v>4.2325283730826619</v>
      </c>
      <c r="P1447" s="304"/>
      <c r="Q1447" s="304"/>
      <c r="R1447" s="304">
        <v>2</v>
      </c>
    </row>
    <row r="1448" spans="1:18" ht="36">
      <c r="A1448" s="300">
        <v>63.21</v>
      </c>
      <c r="B1448" s="293" t="s">
        <v>2529</v>
      </c>
      <c r="C1448" s="301" t="s">
        <v>2530</v>
      </c>
      <c r="D1448" s="302">
        <v>5291.6</v>
      </c>
      <c r="E1448" s="302">
        <v>1155.1400000000001</v>
      </c>
      <c r="F1448" s="302">
        <v>35.380000000000003</v>
      </c>
      <c r="G1448" s="302">
        <v>4101.08</v>
      </c>
      <c r="H1448" s="303">
        <v>33192</v>
      </c>
      <c r="I1448" s="303">
        <v>15074.75</v>
      </c>
      <c r="J1448" s="303">
        <v>202.14</v>
      </c>
      <c r="K1448" s="303">
        <v>17915.11</v>
      </c>
      <c r="L1448" s="357">
        <v>6.2725829616751074</v>
      </c>
      <c r="M1448" s="357">
        <v>13.05</v>
      </c>
      <c r="N1448" s="357">
        <v>5.7133973996608249</v>
      </c>
      <c r="O1448" s="357">
        <v>4.3683883269772839</v>
      </c>
      <c r="P1448" s="304"/>
      <c r="Q1448" s="304"/>
      <c r="R1448" s="304">
        <v>2</v>
      </c>
    </row>
    <row r="1449" spans="1:18" ht="36">
      <c r="A1449" s="300">
        <v>63.22</v>
      </c>
      <c r="B1449" s="293" t="s">
        <v>2531</v>
      </c>
      <c r="C1449" s="301" t="s">
        <v>2532</v>
      </c>
      <c r="D1449" s="302">
        <v>9057.06</v>
      </c>
      <c r="E1449" s="302">
        <v>2353.0700000000002</v>
      </c>
      <c r="F1449" s="302">
        <v>35.380000000000003</v>
      </c>
      <c r="G1449" s="302">
        <v>6668.61</v>
      </c>
      <c r="H1449" s="303">
        <v>58122.03</v>
      </c>
      <c r="I1449" s="303">
        <v>30707.82</v>
      </c>
      <c r="J1449" s="303">
        <v>202.14</v>
      </c>
      <c r="K1449" s="303">
        <v>27212.07</v>
      </c>
      <c r="L1449" s="357">
        <v>6.4173175401289164</v>
      </c>
      <c r="M1449" s="357">
        <v>13.05</v>
      </c>
      <c r="N1449" s="357">
        <v>5.7133973996608249</v>
      </c>
      <c r="O1449" s="357">
        <v>4.080620998978798</v>
      </c>
      <c r="P1449" s="304"/>
      <c r="Q1449" s="304"/>
      <c r="R1449" s="304">
        <v>2</v>
      </c>
    </row>
    <row r="1450" spans="1:18" ht="36">
      <c r="A1450" s="300">
        <v>63.23</v>
      </c>
      <c r="B1450" s="293" t="s">
        <v>2533</v>
      </c>
      <c r="C1450" s="301" t="s">
        <v>2534</v>
      </c>
      <c r="D1450" s="302">
        <v>7239.05</v>
      </c>
      <c r="E1450" s="302">
        <v>1654.28</v>
      </c>
      <c r="F1450" s="302">
        <v>35.380000000000003</v>
      </c>
      <c r="G1450" s="302">
        <v>5549.39</v>
      </c>
      <c r="H1450" s="303">
        <v>44908.08</v>
      </c>
      <c r="I1450" s="303">
        <v>21588.53</v>
      </c>
      <c r="J1450" s="303">
        <v>202.14</v>
      </c>
      <c r="K1450" s="303">
        <v>23117.41</v>
      </c>
      <c r="L1450" s="357">
        <v>6.2035874873084174</v>
      </c>
      <c r="M1450" s="357">
        <v>13.05</v>
      </c>
      <c r="N1450" s="357">
        <v>5.7133973996608249</v>
      </c>
      <c r="O1450" s="357">
        <v>4.1657569570709567</v>
      </c>
      <c r="P1450" s="304"/>
      <c r="Q1450" s="304"/>
      <c r="R1450" s="304">
        <v>2</v>
      </c>
    </row>
    <row r="1451" spans="1:18" ht="36">
      <c r="A1451" s="300">
        <v>63.24</v>
      </c>
      <c r="B1451" s="293" t="s">
        <v>2535</v>
      </c>
      <c r="C1451" s="301" t="s">
        <v>2536</v>
      </c>
      <c r="D1451" s="302">
        <v>6020.21</v>
      </c>
      <c r="E1451" s="302">
        <v>1269.23</v>
      </c>
      <c r="F1451" s="302">
        <v>35.380000000000003</v>
      </c>
      <c r="G1451" s="302">
        <v>4715.6000000000004</v>
      </c>
      <c r="H1451" s="303">
        <v>37055.14</v>
      </c>
      <c r="I1451" s="303">
        <v>16563.61</v>
      </c>
      <c r="J1451" s="303">
        <v>202.14</v>
      </c>
      <c r="K1451" s="303">
        <v>20289.39</v>
      </c>
      <c r="L1451" s="357">
        <v>6.1551241567985171</v>
      </c>
      <c r="M1451" s="357">
        <v>13.05</v>
      </c>
      <c r="N1451" s="357">
        <v>5.7133973996608249</v>
      </c>
      <c r="O1451" s="357">
        <v>4.3026104843498167</v>
      </c>
      <c r="P1451" s="304"/>
      <c r="Q1451" s="304"/>
      <c r="R1451" s="304">
        <v>2</v>
      </c>
    </row>
    <row r="1452" spans="1:18" ht="24">
      <c r="A1452" s="300">
        <v>63.25</v>
      </c>
      <c r="B1452" s="293" t="s">
        <v>2537</v>
      </c>
      <c r="C1452" s="301" t="s">
        <v>2538</v>
      </c>
      <c r="D1452" s="302">
        <v>506.27</v>
      </c>
      <c r="E1452" s="302">
        <v>506.27</v>
      </c>
      <c r="F1452" s="302"/>
      <c r="G1452" s="302"/>
      <c r="H1452" s="303">
        <v>6606.83</v>
      </c>
      <c r="I1452" s="303">
        <v>6606.83</v>
      </c>
      <c r="J1452" s="303"/>
      <c r="K1452" s="303"/>
      <c r="L1452" s="357">
        <v>13.050012838998953</v>
      </c>
      <c r="M1452" s="357">
        <v>13.05</v>
      </c>
      <c r="N1452" s="357" t="s">
        <v>135</v>
      </c>
      <c r="O1452" s="357" t="s">
        <v>135</v>
      </c>
      <c r="P1452" s="304"/>
      <c r="Q1452" s="304"/>
      <c r="R1452" s="304">
        <v>2</v>
      </c>
    </row>
    <row r="1453" spans="1:18" ht="24">
      <c r="A1453" s="300">
        <v>63.26</v>
      </c>
      <c r="B1453" s="293" t="s">
        <v>2539</v>
      </c>
      <c r="C1453" s="301" t="s">
        <v>2540</v>
      </c>
      <c r="D1453" s="302">
        <v>352.25</v>
      </c>
      <c r="E1453" s="302">
        <v>352.25</v>
      </c>
      <c r="F1453" s="302"/>
      <c r="G1453" s="302"/>
      <c r="H1453" s="303">
        <v>4596.87</v>
      </c>
      <c r="I1453" s="303">
        <v>4596.87</v>
      </c>
      <c r="J1453" s="303"/>
      <c r="K1453" s="303"/>
      <c r="L1453" s="357">
        <v>13.050021291696238</v>
      </c>
      <c r="M1453" s="357">
        <v>13.05</v>
      </c>
      <c r="N1453" s="357" t="s">
        <v>135</v>
      </c>
      <c r="O1453" s="357" t="s">
        <v>135</v>
      </c>
      <c r="P1453" s="304"/>
      <c r="Q1453" s="304"/>
      <c r="R1453" s="304">
        <v>2</v>
      </c>
    </row>
    <row r="1454" spans="1:18" ht="24">
      <c r="A1454" s="300">
        <v>63.27</v>
      </c>
      <c r="B1454" s="293" t="s">
        <v>2541</v>
      </c>
      <c r="C1454" s="301" t="s">
        <v>2542</v>
      </c>
      <c r="D1454" s="302">
        <v>272.39</v>
      </c>
      <c r="E1454" s="302">
        <v>272.39</v>
      </c>
      <c r="F1454" s="302"/>
      <c r="G1454" s="302"/>
      <c r="H1454" s="303">
        <v>3554.66</v>
      </c>
      <c r="I1454" s="303">
        <v>3554.66</v>
      </c>
      <c r="J1454" s="303"/>
      <c r="K1454" s="303"/>
      <c r="L1454" s="357">
        <v>13.049891699401593</v>
      </c>
      <c r="M1454" s="357">
        <v>13.05</v>
      </c>
      <c r="N1454" s="357" t="s">
        <v>135</v>
      </c>
      <c r="O1454" s="357" t="s">
        <v>135</v>
      </c>
      <c r="P1454" s="304"/>
      <c r="Q1454" s="304"/>
      <c r="R1454" s="304">
        <v>2</v>
      </c>
    </row>
    <row r="1455" spans="1:18" ht="24">
      <c r="A1455" s="300">
        <v>63.28</v>
      </c>
      <c r="B1455" s="293" t="s">
        <v>2543</v>
      </c>
      <c r="C1455" s="301" t="s">
        <v>2544</v>
      </c>
      <c r="D1455" s="302">
        <v>571.54</v>
      </c>
      <c r="E1455" s="302">
        <v>571.54</v>
      </c>
      <c r="F1455" s="302"/>
      <c r="G1455" s="302"/>
      <c r="H1455" s="303">
        <v>7458.64</v>
      </c>
      <c r="I1455" s="303">
        <v>7458.64</v>
      </c>
      <c r="J1455" s="303"/>
      <c r="K1455" s="303"/>
      <c r="L1455" s="357">
        <v>13.050075235329112</v>
      </c>
      <c r="M1455" s="357">
        <v>13.05</v>
      </c>
      <c r="N1455" s="357" t="s">
        <v>135</v>
      </c>
      <c r="O1455" s="357" t="s">
        <v>135</v>
      </c>
      <c r="P1455" s="304"/>
      <c r="Q1455" s="304"/>
      <c r="R1455" s="304">
        <v>2</v>
      </c>
    </row>
    <row r="1456" spans="1:18" ht="24">
      <c r="A1456" s="300">
        <v>63.29</v>
      </c>
      <c r="B1456" s="293" t="s">
        <v>2545</v>
      </c>
      <c r="C1456" s="301" t="s">
        <v>2546</v>
      </c>
      <c r="D1456" s="302">
        <v>397.88</v>
      </c>
      <c r="E1456" s="302">
        <v>397.88</v>
      </c>
      <c r="F1456" s="302"/>
      <c r="G1456" s="302"/>
      <c r="H1456" s="303">
        <v>5192.41</v>
      </c>
      <c r="I1456" s="303">
        <v>5192.41</v>
      </c>
      <c r="J1456" s="303"/>
      <c r="K1456" s="303"/>
      <c r="L1456" s="357">
        <v>13.050191012365538</v>
      </c>
      <c r="M1456" s="357">
        <v>13.05</v>
      </c>
      <c r="N1456" s="357" t="s">
        <v>135</v>
      </c>
      <c r="O1456" s="357" t="s">
        <v>135</v>
      </c>
      <c r="P1456" s="304"/>
      <c r="Q1456" s="304"/>
      <c r="R1456" s="304">
        <v>2</v>
      </c>
    </row>
    <row r="1457" spans="1:18" ht="24">
      <c r="A1457" s="300">
        <v>63.3</v>
      </c>
      <c r="B1457" s="293" t="s">
        <v>2547</v>
      </c>
      <c r="C1457" s="301" t="s">
        <v>2548</v>
      </c>
      <c r="D1457" s="302">
        <v>300.91000000000003</v>
      </c>
      <c r="E1457" s="302">
        <v>300.91000000000003</v>
      </c>
      <c r="F1457" s="302"/>
      <c r="G1457" s="302"/>
      <c r="H1457" s="303">
        <v>3926.88</v>
      </c>
      <c r="I1457" s="303">
        <v>3926.88</v>
      </c>
      <c r="J1457" s="303"/>
      <c r="K1457" s="303"/>
      <c r="L1457" s="357">
        <v>13.050014954637598</v>
      </c>
      <c r="M1457" s="357">
        <v>13.05</v>
      </c>
      <c r="N1457" s="357" t="s">
        <v>135</v>
      </c>
      <c r="O1457" s="357" t="s">
        <v>135</v>
      </c>
      <c r="P1457" s="304"/>
      <c r="Q1457" s="304"/>
      <c r="R1457" s="304">
        <v>2</v>
      </c>
    </row>
    <row r="1458" spans="1:18">
      <c r="A1458" s="300">
        <v>63.31</v>
      </c>
      <c r="B1458" s="293" t="s">
        <v>2549</v>
      </c>
      <c r="C1458" s="301" t="s">
        <v>2550</v>
      </c>
      <c r="D1458" s="302">
        <v>405.01</v>
      </c>
      <c r="E1458" s="302">
        <v>405.01</v>
      </c>
      <c r="F1458" s="302"/>
      <c r="G1458" s="302"/>
      <c r="H1458" s="303">
        <v>5285.47</v>
      </c>
      <c r="I1458" s="303">
        <v>5285.47</v>
      </c>
      <c r="J1458" s="303"/>
      <c r="K1458" s="303"/>
      <c r="L1458" s="357">
        <v>13.050220982197972</v>
      </c>
      <c r="M1458" s="357">
        <v>13.05</v>
      </c>
      <c r="N1458" s="357" t="s">
        <v>135</v>
      </c>
      <c r="O1458" s="357" t="s">
        <v>135</v>
      </c>
      <c r="P1458" s="304"/>
      <c r="Q1458" s="304"/>
      <c r="R1458" s="304">
        <v>2</v>
      </c>
    </row>
    <row r="1459" spans="1:18">
      <c r="A1459" s="300">
        <v>63.32</v>
      </c>
      <c r="B1459" s="293" t="s">
        <v>2551</v>
      </c>
      <c r="C1459" s="301" t="s">
        <v>2552</v>
      </c>
      <c r="D1459" s="302">
        <v>283.79000000000002</v>
      </c>
      <c r="E1459" s="302">
        <v>283.79000000000002</v>
      </c>
      <c r="F1459" s="302"/>
      <c r="G1459" s="302"/>
      <c r="H1459" s="303">
        <v>3703.55</v>
      </c>
      <c r="I1459" s="303">
        <v>3703.55</v>
      </c>
      <c r="J1459" s="303"/>
      <c r="K1459" s="303"/>
      <c r="L1459" s="357">
        <v>13.050318897776524</v>
      </c>
      <c r="M1459" s="357">
        <v>13.05</v>
      </c>
      <c r="N1459" s="357" t="s">
        <v>135</v>
      </c>
      <c r="O1459" s="357" t="s">
        <v>135</v>
      </c>
      <c r="P1459" s="304"/>
      <c r="Q1459" s="304"/>
      <c r="R1459" s="304">
        <v>2</v>
      </c>
    </row>
    <row r="1460" spans="1:18">
      <c r="A1460" s="300">
        <v>63.33</v>
      </c>
      <c r="B1460" s="293" t="s">
        <v>2553</v>
      </c>
      <c r="C1460" s="301" t="s">
        <v>2554</v>
      </c>
      <c r="D1460" s="302">
        <v>218.3</v>
      </c>
      <c r="E1460" s="302">
        <v>218.3</v>
      </c>
      <c r="F1460" s="302"/>
      <c r="G1460" s="302"/>
      <c r="H1460" s="303">
        <v>2848.88</v>
      </c>
      <c r="I1460" s="303">
        <v>2848.88</v>
      </c>
      <c r="J1460" s="303"/>
      <c r="K1460" s="303"/>
      <c r="L1460" s="357">
        <v>13.0502977553825</v>
      </c>
      <c r="M1460" s="357">
        <v>13.05</v>
      </c>
      <c r="N1460" s="357" t="s">
        <v>135</v>
      </c>
      <c r="O1460" s="357" t="s">
        <v>135</v>
      </c>
      <c r="P1460" s="304"/>
      <c r="Q1460" s="304"/>
      <c r="R1460" s="304">
        <v>2</v>
      </c>
    </row>
    <row r="1461" spans="1:18">
      <c r="A1461" s="300">
        <v>63.34</v>
      </c>
      <c r="B1461" s="293" t="s">
        <v>2555</v>
      </c>
      <c r="C1461" s="301" t="s">
        <v>2556</v>
      </c>
      <c r="D1461" s="302">
        <v>456.35</v>
      </c>
      <c r="E1461" s="302">
        <v>456.35</v>
      </c>
      <c r="F1461" s="302"/>
      <c r="G1461" s="302"/>
      <c r="H1461" s="303">
        <v>5955.46</v>
      </c>
      <c r="I1461" s="303">
        <v>5955.46</v>
      </c>
      <c r="J1461" s="303"/>
      <c r="K1461" s="303"/>
      <c r="L1461" s="357">
        <v>13.05020269529966</v>
      </c>
      <c r="M1461" s="357">
        <v>13.05</v>
      </c>
      <c r="N1461" s="357" t="s">
        <v>135</v>
      </c>
      <c r="O1461" s="357" t="s">
        <v>135</v>
      </c>
      <c r="P1461" s="304"/>
      <c r="Q1461" s="304"/>
      <c r="R1461" s="304">
        <v>2</v>
      </c>
    </row>
    <row r="1462" spans="1:18">
      <c r="A1462" s="300">
        <v>63.35</v>
      </c>
      <c r="B1462" s="293" t="s">
        <v>2557</v>
      </c>
      <c r="C1462" s="301" t="s">
        <v>2558</v>
      </c>
      <c r="D1462" s="302">
        <v>317.02999999999997</v>
      </c>
      <c r="E1462" s="302">
        <v>317.02999999999997</v>
      </c>
      <c r="F1462" s="302"/>
      <c r="G1462" s="302"/>
      <c r="H1462" s="303">
        <v>4137.32</v>
      </c>
      <c r="I1462" s="303">
        <v>4137.32</v>
      </c>
      <c r="J1462" s="303"/>
      <c r="K1462" s="303"/>
      <c r="L1462" s="357">
        <v>13.050247610636218</v>
      </c>
      <c r="M1462" s="357">
        <v>13.05</v>
      </c>
      <c r="N1462" s="357" t="s">
        <v>135</v>
      </c>
      <c r="O1462" s="357" t="s">
        <v>135</v>
      </c>
      <c r="P1462" s="304"/>
      <c r="Q1462" s="304"/>
      <c r="R1462" s="304">
        <v>2</v>
      </c>
    </row>
    <row r="1463" spans="1:18">
      <c r="A1463" s="305">
        <v>63.36</v>
      </c>
      <c r="B1463" s="306" t="s">
        <v>2559</v>
      </c>
      <c r="C1463" s="307" t="s">
        <v>2560</v>
      </c>
      <c r="D1463" s="308">
        <v>239.15</v>
      </c>
      <c r="E1463" s="308">
        <v>239.15</v>
      </c>
      <c r="F1463" s="308"/>
      <c r="G1463" s="308"/>
      <c r="H1463" s="309">
        <v>3120.89</v>
      </c>
      <c r="I1463" s="309">
        <v>3120.89</v>
      </c>
      <c r="J1463" s="309"/>
      <c r="K1463" s="309"/>
      <c r="L1463" s="356">
        <v>13.049926824168931</v>
      </c>
      <c r="M1463" s="356">
        <v>13.05</v>
      </c>
      <c r="N1463" s="356" t="s">
        <v>135</v>
      </c>
      <c r="O1463" s="356" t="s">
        <v>135</v>
      </c>
      <c r="P1463" s="310"/>
      <c r="Q1463" s="310"/>
      <c r="R1463" s="310">
        <v>2</v>
      </c>
    </row>
    <row r="1464" spans="1:18" ht="12.75">
      <c r="A1464" s="428" t="s">
        <v>2561</v>
      </c>
      <c r="B1464" s="429"/>
      <c r="C1464" s="429"/>
      <c r="D1464" s="429"/>
      <c r="E1464" s="429"/>
      <c r="F1464" s="429"/>
      <c r="G1464" s="429"/>
      <c r="H1464" s="429"/>
      <c r="I1464" s="429"/>
      <c r="J1464" s="429"/>
      <c r="K1464" s="429"/>
      <c r="L1464" s="429"/>
      <c r="M1464" s="429"/>
      <c r="N1464" s="429"/>
      <c r="O1464" s="429"/>
      <c r="P1464" s="429"/>
      <c r="Q1464" s="429"/>
      <c r="R1464" s="429"/>
    </row>
    <row r="1465" spans="1:18" ht="36">
      <c r="A1465" s="300">
        <v>63.37</v>
      </c>
      <c r="B1465" s="293" t="s">
        <v>2562</v>
      </c>
      <c r="C1465" s="301" t="s">
        <v>2563</v>
      </c>
      <c r="D1465" s="302">
        <v>6123</v>
      </c>
      <c r="E1465" s="302">
        <v>2096.37</v>
      </c>
      <c r="F1465" s="302">
        <v>35.380000000000003</v>
      </c>
      <c r="G1465" s="302">
        <v>3991.25</v>
      </c>
      <c r="H1465" s="303">
        <v>47389.54</v>
      </c>
      <c r="I1465" s="303">
        <v>27357.88</v>
      </c>
      <c r="J1465" s="303">
        <v>202.14</v>
      </c>
      <c r="K1465" s="303">
        <v>19829.52</v>
      </c>
      <c r="L1465" s="357">
        <v>7.7395949697860527</v>
      </c>
      <c r="M1465" s="357">
        <v>13.05</v>
      </c>
      <c r="N1465" s="357">
        <v>5.7133973996608249</v>
      </c>
      <c r="O1465" s="357">
        <v>4.9682480425931725</v>
      </c>
      <c r="P1465" s="304"/>
      <c r="Q1465" s="304"/>
      <c r="R1465" s="304">
        <v>3</v>
      </c>
    </row>
    <row r="1466" spans="1:18" ht="36">
      <c r="A1466" s="300">
        <v>63.38</v>
      </c>
      <c r="B1466" s="293" t="s">
        <v>2564</v>
      </c>
      <c r="C1466" s="301" t="s">
        <v>2565</v>
      </c>
      <c r="D1466" s="302">
        <v>5113.1899999999996</v>
      </c>
      <c r="E1466" s="302">
        <v>1483.14</v>
      </c>
      <c r="F1466" s="302">
        <v>35.380000000000003</v>
      </c>
      <c r="G1466" s="302">
        <v>3594.67</v>
      </c>
      <c r="H1466" s="303">
        <v>37334.03</v>
      </c>
      <c r="I1466" s="303">
        <v>19355.23</v>
      </c>
      <c r="J1466" s="303">
        <v>202.14</v>
      </c>
      <c r="K1466" s="303">
        <v>17776.66</v>
      </c>
      <c r="L1466" s="357">
        <v>7.3015143188498772</v>
      </c>
      <c r="M1466" s="357">
        <v>13.05</v>
      </c>
      <c r="N1466" s="357">
        <v>5.7133973996608249</v>
      </c>
      <c r="O1466" s="357">
        <v>4.9452828771486672</v>
      </c>
      <c r="P1466" s="304"/>
      <c r="Q1466" s="304"/>
      <c r="R1466" s="304">
        <v>3</v>
      </c>
    </row>
    <row r="1467" spans="1:18" ht="36">
      <c r="A1467" s="300">
        <v>63.39</v>
      </c>
      <c r="B1467" s="293" t="s">
        <v>2566</v>
      </c>
      <c r="C1467" s="301" t="s">
        <v>2567</v>
      </c>
      <c r="D1467" s="302">
        <v>4413.87</v>
      </c>
      <c r="E1467" s="302">
        <v>1155.1400000000001</v>
      </c>
      <c r="F1467" s="302">
        <v>35.380000000000003</v>
      </c>
      <c r="G1467" s="302">
        <v>3223.35</v>
      </c>
      <c r="H1467" s="303">
        <v>31123.4</v>
      </c>
      <c r="I1467" s="303">
        <v>15074.75</v>
      </c>
      <c r="J1467" s="303">
        <v>202.14</v>
      </c>
      <c r="K1467" s="303">
        <v>15846.51</v>
      </c>
      <c r="L1467" s="357">
        <v>7.051272466112505</v>
      </c>
      <c r="M1467" s="357">
        <v>13.05</v>
      </c>
      <c r="N1467" s="357">
        <v>5.7133973996608249</v>
      </c>
      <c r="O1467" s="357">
        <v>4.9161617571780916</v>
      </c>
      <c r="P1467" s="304"/>
      <c r="Q1467" s="304"/>
      <c r="R1467" s="304">
        <v>3</v>
      </c>
    </row>
    <row r="1468" spans="1:18" ht="36">
      <c r="A1468" s="300">
        <v>63.4</v>
      </c>
      <c r="B1468" s="293" t="s">
        <v>2568</v>
      </c>
      <c r="C1468" s="301" t="s">
        <v>2569</v>
      </c>
      <c r="D1468" s="302">
        <v>7265.93</v>
      </c>
      <c r="E1468" s="302">
        <v>2666.81</v>
      </c>
      <c r="F1468" s="302">
        <v>35.380000000000003</v>
      </c>
      <c r="G1468" s="302">
        <v>4563.74</v>
      </c>
      <c r="H1468" s="303">
        <v>56269.51</v>
      </c>
      <c r="I1468" s="303">
        <v>34802.199999999997</v>
      </c>
      <c r="J1468" s="303">
        <v>202.14</v>
      </c>
      <c r="K1468" s="303">
        <v>21265.17</v>
      </c>
      <c r="L1468" s="357">
        <v>7.7442956373100209</v>
      </c>
      <c r="M1468" s="357">
        <v>13.05</v>
      </c>
      <c r="N1468" s="357">
        <v>5.7133973996608249</v>
      </c>
      <c r="O1468" s="357">
        <v>4.6595927901238898</v>
      </c>
      <c r="P1468" s="304"/>
      <c r="Q1468" s="304"/>
      <c r="R1468" s="304">
        <v>3</v>
      </c>
    </row>
    <row r="1469" spans="1:18" ht="36">
      <c r="A1469" s="300">
        <v>63.41</v>
      </c>
      <c r="B1469" s="293" t="s">
        <v>2570</v>
      </c>
      <c r="C1469" s="301" t="s">
        <v>2571</v>
      </c>
      <c r="D1469" s="302">
        <v>5888.85</v>
      </c>
      <c r="E1469" s="302">
        <v>1882.45</v>
      </c>
      <c r="F1469" s="302">
        <v>35.380000000000003</v>
      </c>
      <c r="G1469" s="302">
        <v>3971.02</v>
      </c>
      <c r="H1469" s="303">
        <v>43427.32</v>
      </c>
      <c r="I1469" s="303">
        <v>24566.26</v>
      </c>
      <c r="J1469" s="303">
        <v>202.14</v>
      </c>
      <c r="K1469" s="303">
        <v>18658.919999999998</v>
      </c>
      <c r="L1469" s="357">
        <v>7.3744992655611874</v>
      </c>
      <c r="M1469" s="357">
        <v>13.05</v>
      </c>
      <c r="N1469" s="357">
        <v>5.7133973996608249</v>
      </c>
      <c r="O1469" s="357">
        <v>4.6987726075416392</v>
      </c>
      <c r="P1469" s="304"/>
      <c r="Q1469" s="304"/>
      <c r="R1469" s="304">
        <v>3</v>
      </c>
    </row>
    <row r="1470" spans="1:18" ht="36">
      <c r="A1470" s="300">
        <v>63.42</v>
      </c>
      <c r="B1470" s="293" t="s">
        <v>2572</v>
      </c>
      <c r="C1470" s="301" t="s">
        <v>2573</v>
      </c>
      <c r="D1470" s="302">
        <v>5182.24</v>
      </c>
      <c r="E1470" s="302">
        <v>1483.14</v>
      </c>
      <c r="F1470" s="302">
        <v>35.380000000000003</v>
      </c>
      <c r="G1470" s="302">
        <v>3663.72</v>
      </c>
      <c r="H1470" s="303">
        <v>36876.68</v>
      </c>
      <c r="I1470" s="303">
        <v>19355.23</v>
      </c>
      <c r="J1470" s="303">
        <v>202.14</v>
      </c>
      <c r="K1470" s="303">
        <v>17319.310000000001</v>
      </c>
      <c r="L1470" s="357">
        <v>7.1159730155299643</v>
      </c>
      <c r="M1470" s="357">
        <v>13.05</v>
      </c>
      <c r="N1470" s="357">
        <v>5.7133973996608249</v>
      </c>
      <c r="O1470" s="357">
        <v>4.7272471695435243</v>
      </c>
      <c r="P1470" s="304"/>
      <c r="Q1470" s="304"/>
      <c r="R1470" s="304">
        <v>3</v>
      </c>
    </row>
    <row r="1471" spans="1:18" ht="24">
      <c r="A1471" s="300">
        <v>63.43</v>
      </c>
      <c r="B1471" s="293" t="s">
        <v>2574</v>
      </c>
      <c r="C1471" s="301" t="s">
        <v>2575</v>
      </c>
      <c r="D1471" s="302">
        <v>506.27</v>
      </c>
      <c r="E1471" s="302">
        <v>506.27</v>
      </c>
      <c r="F1471" s="302"/>
      <c r="G1471" s="302"/>
      <c r="H1471" s="303">
        <v>6606.83</v>
      </c>
      <c r="I1471" s="303">
        <v>6606.83</v>
      </c>
      <c r="J1471" s="303"/>
      <c r="K1471" s="303"/>
      <c r="L1471" s="357">
        <v>13.050012838998953</v>
      </c>
      <c r="M1471" s="357">
        <v>13.05</v>
      </c>
      <c r="N1471" s="357" t="s">
        <v>135</v>
      </c>
      <c r="O1471" s="357" t="s">
        <v>135</v>
      </c>
      <c r="P1471" s="304"/>
      <c r="Q1471" s="304"/>
      <c r="R1471" s="304">
        <v>3</v>
      </c>
    </row>
    <row r="1472" spans="1:18" ht="24">
      <c r="A1472" s="300">
        <v>63.44</v>
      </c>
      <c r="B1472" s="293" t="s">
        <v>2576</v>
      </c>
      <c r="C1472" s="301" t="s">
        <v>2577</v>
      </c>
      <c r="D1472" s="302">
        <v>352.25</v>
      </c>
      <c r="E1472" s="302">
        <v>352.25</v>
      </c>
      <c r="F1472" s="302"/>
      <c r="G1472" s="302"/>
      <c r="H1472" s="303">
        <v>4596.87</v>
      </c>
      <c r="I1472" s="303">
        <v>4596.87</v>
      </c>
      <c r="J1472" s="303"/>
      <c r="K1472" s="303"/>
      <c r="L1472" s="357">
        <v>13.050021291696238</v>
      </c>
      <c r="M1472" s="357">
        <v>13.05</v>
      </c>
      <c r="N1472" s="357" t="s">
        <v>135</v>
      </c>
      <c r="O1472" s="357" t="s">
        <v>135</v>
      </c>
      <c r="P1472" s="304"/>
      <c r="Q1472" s="304"/>
      <c r="R1472" s="304">
        <v>3</v>
      </c>
    </row>
    <row r="1473" spans="1:18" ht="24">
      <c r="A1473" s="300">
        <v>63.45</v>
      </c>
      <c r="B1473" s="293" t="s">
        <v>2578</v>
      </c>
      <c r="C1473" s="301" t="s">
        <v>2579</v>
      </c>
      <c r="D1473" s="302">
        <v>272.39</v>
      </c>
      <c r="E1473" s="302">
        <v>272.39</v>
      </c>
      <c r="F1473" s="302"/>
      <c r="G1473" s="302"/>
      <c r="H1473" s="303">
        <v>3554.66</v>
      </c>
      <c r="I1473" s="303">
        <v>3554.66</v>
      </c>
      <c r="J1473" s="303"/>
      <c r="K1473" s="303"/>
      <c r="L1473" s="357">
        <v>13.049891699401593</v>
      </c>
      <c r="M1473" s="357">
        <v>13.05</v>
      </c>
      <c r="N1473" s="357" t="s">
        <v>135</v>
      </c>
      <c r="O1473" s="357" t="s">
        <v>135</v>
      </c>
      <c r="P1473" s="304"/>
      <c r="Q1473" s="304"/>
      <c r="R1473" s="304">
        <v>3</v>
      </c>
    </row>
    <row r="1474" spans="1:18" ht="24">
      <c r="A1474" s="300">
        <v>63.46</v>
      </c>
      <c r="B1474" s="293" t="s">
        <v>2580</v>
      </c>
      <c r="C1474" s="301" t="s">
        <v>2581</v>
      </c>
      <c r="D1474" s="302">
        <v>651.73</v>
      </c>
      <c r="E1474" s="302">
        <v>651.73</v>
      </c>
      <c r="F1474" s="302"/>
      <c r="G1474" s="302"/>
      <c r="H1474" s="303">
        <v>8505.14</v>
      </c>
      <c r="I1474" s="303">
        <v>8505.14</v>
      </c>
      <c r="J1474" s="303"/>
      <c r="K1474" s="303"/>
      <c r="L1474" s="357">
        <v>13.050097432986052</v>
      </c>
      <c r="M1474" s="357">
        <v>13.05</v>
      </c>
      <c r="N1474" s="357" t="s">
        <v>135</v>
      </c>
      <c r="O1474" s="357" t="s">
        <v>135</v>
      </c>
      <c r="P1474" s="304"/>
      <c r="Q1474" s="304"/>
      <c r="R1474" s="304">
        <v>3</v>
      </c>
    </row>
    <row r="1475" spans="1:18" ht="24">
      <c r="A1475" s="300">
        <v>63.47</v>
      </c>
      <c r="B1475" s="293" t="s">
        <v>2582</v>
      </c>
      <c r="C1475" s="301" t="s">
        <v>2583</v>
      </c>
      <c r="D1475" s="302">
        <v>454.93</v>
      </c>
      <c r="E1475" s="302">
        <v>454.93</v>
      </c>
      <c r="F1475" s="302"/>
      <c r="G1475" s="302"/>
      <c r="H1475" s="303">
        <v>5936.85</v>
      </c>
      <c r="I1475" s="303">
        <v>5936.85</v>
      </c>
      <c r="J1475" s="303"/>
      <c r="K1475" s="303"/>
      <c r="L1475" s="357">
        <v>13.05002967489504</v>
      </c>
      <c r="M1475" s="357">
        <v>13.05</v>
      </c>
      <c r="N1475" s="357" t="s">
        <v>135</v>
      </c>
      <c r="O1475" s="357" t="s">
        <v>135</v>
      </c>
      <c r="P1475" s="304"/>
      <c r="Q1475" s="304"/>
      <c r="R1475" s="304">
        <v>3</v>
      </c>
    </row>
    <row r="1476" spans="1:18" ht="24">
      <c r="A1476" s="300">
        <v>63.48</v>
      </c>
      <c r="B1476" s="293" t="s">
        <v>2584</v>
      </c>
      <c r="C1476" s="301" t="s">
        <v>2585</v>
      </c>
      <c r="D1476" s="302">
        <v>352.25</v>
      </c>
      <c r="E1476" s="302">
        <v>352.25</v>
      </c>
      <c r="F1476" s="302"/>
      <c r="G1476" s="302"/>
      <c r="H1476" s="303">
        <v>4596.87</v>
      </c>
      <c r="I1476" s="303">
        <v>4596.87</v>
      </c>
      <c r="J1476" s="303"/>
      <c r="K1476" s="303"/>
      <c r="L1476" s="357">
        <v>13.050021291696238</v>
      </c>
      <c r="M1476" s="357">
        <v>13.05</v>
      </c>
      <c r="N1476" s="357" t="s">
        <v>135</v>
      </c>
      <c r="O1476" s="357" t="s">
        <v>135</v>
      </c>
      <c r="P1476" s="304"/>
      <c r="Q1476" s="304"/>
      <c r="R1476" s="304">
        <v>3</v>
      </c>
    </row>
    <row r="1477" spans="1:18">
      <c r="A1477" s="300">
        <v>63.49</v>
      </c>
      <c r="B1477" s="293" t="s">
        <v>2586</v>
      </c>
      <c r="C1477" s="301" t="s">
        <v>2587</v>
      </c>
      <c r="D1477" s="302">
        <v>405.01</v>
      </c>
      <c r="E1477" s="302">
        <v>405.01</v>
      </c>
      <c r="F1477" s="302"/>
      <c r="G1477" s="302"/>
      <c r="H1477" s="303">
        <v>5285.47</v>
      </c>
      <c r="I1477" s="303">
        <v>5285.47</v>
      </c>
      <c r="J1477" s="303"/>
      <c r="K1477" s="303"/>
      <c r="L1477" s="357">
        <v>13.050220982197972</v>
      </c>
      <c r="M1477" s="357">
        <v>13.05</v>
      </c>
      <c r="N1477" s="357" t="s">
        <v>135</v>
      </c>
      <c r="O1477" s="357" t="s">
        <v>135</v>
      </c>
      <c r="P1477" s="304"/>
      <c r="Q1477" s="304"/>
      <c r="R1477" s="304">
        <v>3</v>
      </c>
    </row>
    <row r="1478" spans="1:18">
      <c r="A1478" s="300">
        <v>63.5</v>
      </c>
      <c r="B1478" s="293" t="s">
        <v>2588</v>
      </c>
      <c r="C1478" s="301" t="s">
        <v>2589</v>
      </c>
      <c r="D1478" s="302">
        <v>283.79000000000002</v>
      </c>
      <c r="E1478" s="302">
        <v>283.79000000000002</v>
      </c>
      <c r="F1478" s="302"/>
      <c r="G1478" s="302"/>
      <c r="H1478" s="303">
        <v>3703.55</v>
      </c>
      <c r="I1478" s="303">
        <v>3703.55</v>
      </c>
      <c r="J1478" s="303"/>
      <c r="K1478" s="303"/>
      <c r="L1478" s="357">
        <v>13.050318897776524</v>
      </c>
      <c r="M1478" s="357">
        <v>13.05</v>
      </c>
      <c r="N1478" s="357" t="s">
        <v>135</v>
      </c>
      <c r="O1478" s="357" t="s">
        <v>135</v>
      </c>
      <c r="P1478" s="304"/>
      <c r="Q1478" s="304"/>
      <c r="R1478" s="304">
        <v>3</v>
      </c>
    </row>
    <row r="1479" spans="1:18">
      <c r="A1479" s="300">
        <v>63.51</v>
      </c>
      <c r="B1479" s="293" t="s">
        <v>2590</v>
      </c>
      <c r="C1479" s="301" t="s">
        <v>2591</v>
      </c>
      <c r="D1479" s="302">
        <v>218.3</v>
      </c>
      <c r="E1479" s="302">
        <v>218.3</v>
      </c>
      <c r="F1479" s="302"/>
      <c r="G1479" s="302"/>
      <c r="H1479" s="303">
        <v>2848.88</v>
      </c>
      <c r="I1479" s="303">
        <v>2848.88</v>
      </c>
      <c r="J1479" s="303"/>
      <c r="K1479" s="303"/>
      <c r="L1479" s="357">
        <v>13.0502977553825</v>
      </c>
      <c r="M1479" s="357">
        <v>13.05</v>
      </c>
      <c r="N1479" s="357" t="s">
        <v>135</v>
      </c>
      <c r="O1479" s="357" t="s">
        <v>135</v>
      </c>
      <c r="P1479" s="304"/>
      <c r="Q1479" s="304"/>
      <c r="R1479" s="304">
        <v>3</v>
      </c>
    </row>
    <row r="1480" spans="1:18">
      <c r="A1480" s="300">
        <v>63.52</v>
      </c>
      <c r="B1480" s="293" t="s">
        <v>2592</v>
      </c>
      <c r="C1480" s="301" t="s">
        <v>2593</v>
      </c>
      <c r="D1480" s="302">
        <v>521.95000000000005</v>
      </c>
      <c r="E1480" s="302">
        <v>521.95000000000005</v>
      </c>
      <c r="F1480" s="302"/>
      <c r="G1480" s="302"/>
      <c r="H1480" s="303">
        <v>6811.55</v>
      </c>
      <c r="I1480" s="303">
        <v>6811.55</v>
      </c>
      <c r="J1480" s="303"/>
      <c r="K1480" s="303"/>
      <c r="L1480" s="357">
        <v>13.050196378963502</v>
      </c>
      <c r="M1480" s="357">
        <v>13.05</v>
      </c>
      <c r="N1480" s="357" t="s">
        <v>135</v>
      </c>
      <c r="O1480" s="357" t="s">
        <v>135</v>
      </c>
      <c r="P1480" s="304"/>
      <c r="Q1480" s="304"/>
      <c r="R1480" s="304">
        <v>3</v>
      </c>
    </row>
    <row r="1481" spans="1:18">
      <c r="A1481" s="300">
        <v>63.53</v>
      </c>
      <c r="B1481" s="293" t="s">
        <v>2594</v>
      </c>
      <c r="C1481" s="301" t="s">
        <v>2595</v>
      </c>
      <c r="D1481" s="302">
        <v>363.66</v>
      </c>
      <c r="E1481" s="302">
        <v>363.66</v>
      </c>
      <c r="F1481" s="302"/>
      <c r="G1481" s="302"/>
      <c r="H1481" s="303">
        <v>4745.75</v>
      </c>
      <c r="I1481" s="303">
        <v>4745.75</v>
      </c>
      <c r="J1481" s="303"/>
      <c r="K1481" s="303"/>
      <c r="L1481" s="357">
        <v>13.049964252323598</v>
      </c>
      <c r="M1481" s="357">
        <v>13.05</v>
      </c>
      <c r="N1481" s="357" t="s">
        <v>135</v>
      </c>
      <c r="O1481" s="357" t="s">
        <v>135</v>
      </c>
      <c r="P1481" s="304"/>
      <c r="Q1481" s="304"/>
      <c r="R1481" s="304">
        <v>3</v>
      </c>
    </row>
    <row r="1482" spans="1:18">
      <c r="A1482" s="305">
        <v>63.54</v>
      </c>
      <c r="B1482" s="306" t="s">
        <v>2596</v>
      </c>
      <c r="C1482" s="307" t="s">
        <v>2597</v>
      </c>
      <c r="D1482" s="308">
        <v>282.37</v>
      </c>
      <c r="E1482" s="308">
        <v>282.37</v>
      </c>
      <c r="F1482" s="308"/>
      <c r="G1482" s="308"/>
      <c r="H1482" s="309">
        <v>3684.94</v>
      </c>
      <c r="I1482" s="309">
        <v>3684.94</v>
      </c>
      <c r="J1482" s="309"/>
      <c r="K1482" s="309"/>
      <c r="L1482" s="356">
        <v>13.050040726706095</v>
      </c>
      <c r="M1482" s="356">
        <v>13.05</v>
      </c>
      <c r="N1482" s="356" t="s">
        <v>135</v>
      </c>
      <c r="O1482" s="356" t="s">
        <v>135</v>
      </c>
      <c r="P1482" s="310"/>
      <c r="Q1482" s="310"/>
      <c r="R1482" s="310">
        <v>3</v>
      </c>
    </row>
    <row r="1483" spans="1:18" ht="12.75">
      <c r="A1483" s="428" t="s">
        <v>2598</v>
      </c>
      <c r="B1483" s="429"/>
      <c r="C1483" s="429"/>
      <c r="D1483" s="429"/>
      <c r="E1483" s="429"/>
      <c r="F1483" s="429"/>
      <c r="G1483" s="429"/>
      <c r="H1483" s="429"/>
      <c r="I1483" s="429"/>
      <c r="J1483" s="429"/>
      <c r="K1483" s="429"/>
      <c r="L1483" s="429"/>
      <c r="M1483" s="429"/>
      <c r="N1483" s="429"/>
      <c r="O1483" s="429"/>
      <c r="P1483" s="429"/>
      <c r="Q1483" s="429"/>
      <c r="R1483" s="429"/>
    </row>
    <row r="1484" spans="1:18" ht="24">
      <c r="A1484" s="300">
        <v>63.55</v>
      </c>
      <c r="B1484" s="293" t="s">
        <v>2599</v>
      </c>
      <c r="C1484" s="301" t="s">
        <v>2600</v>
      </c>
      <c r="D1484" s="302">
        <v>957.05</v>
      </c>
      <c r="E1484" s="302">
        <v>525.83000000000004</v>
      </c>
      <c r="F1484" s="302">
        <v>10.49</v>
      </c>
      <c r="G1484" s="302">
        <v>420.73</v>
      </c>
      <c r="H1484" s="303">
        <v>9093.25</v>
      </c>
      <c r="I1484" s="303">
        <v>6862.36</v>
      </c>
      <c r="J1484" s="303">
        <v>53.07</v>
      </c>
      <c r="K1484" s="303">
        <v>2177.8200000000002</v>
      </c>
      <c r="L1484" s="357">
        <v>9.5013322187973461</v>
      </c>
      <c r="M1484" s="357">
        <v>13.05</v>
      </c>
      <c r="N1484" s="357">
        <v>5.0591039084842704</v>
      </c>
      <c r="O1484" s="357">
        <v>5.176288831316997</v>
      </c>
      <c r="P1484" s="304"/>
      <c r="Q1484" s="304"/>
      <c r="R1484" s="304">
        <v>4</v>
      </c>
    </row>
    <row r="1485" spans="1:18" ht="24">
      <c r="A1485" s="300">
        <v>63.56</v>
      </c>
      <c r="B1485" s="293" t="s">
        <v>2601</v>
      </c>
      <c r="C1485" s="301" t="s">
        <v>2602</v>
      </c>
      <c r="D1485" s="302">
        <v>1056.78</v>
      </c>
      <c r="E1485" s="302">
        <v>625.55999999999995</v>
      </c>
      <c r="F1485" s="302">
        <v>10.49</v>
      </c>
      <c r="G1485" s="302">
        <v>420.73</v>
      </c>
      <c r="H1485" s="303">
        <v>10394.700000000001</v>
      </c>
      <c r="I1485" s="303">
        <v>8163.81</v>
      </c>
      <c r="J1485" s="303">
        <v>53.07</v>
      </c>
      <c r="K1485" s="303">
        <v>2177.8200000000002</v>
      </c>
      <c r="L1485" s="357">
        <v>9.8362005336967027</v>
      </c>
      <c r="M1485" s="357">
        <v>13.05</v>
      </c>
      <c r="N1485" s="357">
        <v>5.0591039084842704</v>
      </c>
      <c r="O1485" s="357">
        <v>5.176288831316997</v>
      </c>
      <c r="P1485" s="304"/>
      <c r="Q1485" s="304"/>
      <c r="R1485" s="304">
        <v>4</v>
      </c>
    </row>
    <row r="1486" spans="1:18" ht="24">
      <c r="A1486" s="305">
        <v>63.57</v>
      </c>
      <c r="B1486" s="306" t="s">
        <v>2603</v>
      </c>
      <c r="C1486" s="307" t="s">
        <v>2604</v>
      </c>
      <c r="D1486" s="308">
        <v>1036.27</v>
      </c>
      <c r="E1486" s="308">
        <v>605.04999999999995</v>
      </c>
      <c r="F1486" s="308">
        <v>10.49</v>
      </c>
      <c r="G1486" s="308">
        <v>420.73</v>
      </c>
      <c r="H1486" s="309">
        <v>10127.11</v>
      </c>
      <c r="I1486" s="309">
        <v>7896.22</v>
      </c>
      <c r="J1486" s="309">
        <v>53.07</v>
      </c>
      <c r="K1486" s="309">
        <v>2177.8200000000002</v>
      </c>
      <c r="L1486" s="356">
        <v>9.7726557750393237</v>
      </c>
      <c r="M1486" s="356">
        <v>13.05</v>
      </c>
      <c r="N1486" s="356">
        <v>5.0591039084842704</v>
      </c>
      <c r="O1486" s="356">
        <v>5.176288831316997</v>
      </c>
      <c r="P1486" s="310"/>
      <c r="Q1486" s="310"/>
      <c r="R1486" s="310">
        <v>4</v>
      </c>
    </row>
    <row r="1487" spans="1:18" ht="12.75">
      <c r="A1487" s="428" t="s">
        <v>2605</v>
      </c>
      <c r="B1487" s="429"/>
      <c r="C1487" s="429"/>
      <c r="D1487" s="429"/>
      <c r="E1487" s="429"/>
      <c r="F1487" s="429"/>
      <c r="G1487" s="429"/>
      <c r="H1487" s="429"/>
      <c r="I1487" s="429"/>
      <c r="J1487" s="429"/>
      <c r="K1487" s="429"/>
      <c r="L1487" s="429"/>
      <c r="M1487" s="429"/>
      <c r="N1487" s="429"/>
      <c r="O1487" s="429"/>
      <c r="P1487" s="429"/>
      <c r="Q1487" s="429"/>
      <c r="R1487" s="429"/>
    </row>
    <row r="1488" spans="1:18">
      <c r="A1488" s="300">
        <v>63.58</v>
      </c>
      <c r="B1488" s="293" t="s">
        <v>2606</v>
      </c>
      <c r="C1488" s="301" t="s">
        <v>2607</v>
      </c>
      <c r="D1488" s="302">
        <v>96.93</v>
      </c>
      <c r="E1488" s="302">
        <v>96.93</v>
      </c>
      <c r="F1488" s="302"/>
      <c r="G1488" s="302"/>
      <c r="H1488" s="303">
        <v>1264.95</v>
      </c>
      <c r="I1488" s="303">
        <v>1264.95</v>
      </c>
      <c r="J1488" s="303"/>
      <c r="K1488" s="303"/>
      <c r="L1488" s="357">
        <v>13.050139275766016</v>
      </c>
      <c r="M1488" s="357">
        <v>13.05</v>
      </c>
      <c r="N1488" s="357" t="s">
        <v>135</v>
      </c>
      <c r="O1488" s="357" t="s">
        <v>135</v>
      </c>
      <c r="P1488" s="304"/>
      <c r="Q1488" s="304"/>
      <c r="R1488" s="304">
        <v>5</v>
      </c>
    </row>
    <row r="1489" spans="1:18" ht="24">
      <c r="A1489" s="305">
        <v>63.59</v>
      </c>
      <c r="B1489" s="306" t="s">
        <v>2608</v>
      </c>
      <c r="C1489" s="307" t="s">
        <v>2609</v>
      </c>
      <c r="D1489" s="308">
        <v>105.32</v>
      </c>
      <c r="E1489" s="308">
        <v>105.32</v>
      </c>
      <c r="F1489" s="308"/>
      <c r="G1489" s="308"/>
      <c r="H1489" s="309">
        <v>1374.42</v>
      </c>
      <c r="I1489" s="309">
        <v>1374.42</v>
      </c>
      <c r="J1489" s="309"/>
      <c r="K1489" s="309"/>
      <c r="L1489" s="356">
        <v>13.049943030763389</v>
      </c>
      <c r="M1489" s="356">
        <v>13.05</v>
      </c>
      <c r="N1489" s="356" t="s">
        <v>135</v>
      </c>
      <c r="O1489" s="356" t="s">
        <v>135</v>
      </c>
      <c r="P1489" s="310"/>
      <c r="Q1489" s="310"/>
      <c r="R1489" s="310">
        <v>5</v>
      </c>
    </row>
    <row r="1490" spans="1:18" ht="12.75">
      <c r="A1490" s="428" t="s">
        <v>2610</v>
      </c>
      <c r="B1490" s="429"/>
      <c r="C1490" s="429"/>
      <c r="D1490" s="429"/>
      <c r="E1490" s="429"/>
      <c r="F1490" s="429"/>
      <c r="G1490" s="429"/>
      <c r="H1490" s="429"/>
      <c r="I1490" s="429"/>
      <c r="J1490" s="429"/>
      <c r="K1490" s="429"/>
      <c r="L1490" s="429"/>
      <c r="M1490" s="429"/>
      <c r="N1490" s="429"/>
      <c r="O1490" s="429"/>
      <c r="P1490" s="429"/>
      <c r="Q1490" s="429"/>
      <c r="R1490" s="429"/>
    </row>
    <row r="1491" spans="1:18">
      <c r="A1491" s="300">
        <v>63.6</v>
      </c>
      <c r="B1491" s="293" t="s">
        <v>2611</v>
      </c>
      <c r="C1491" s="301" t="s">
        <v>2612</v>
      </c>
      <c r="D1491" s="302">
        <v>1285.95</v>
      </c>
      <c r="E1491" s="302">
        <v>543.04</v>
      </c>
      <c r="F1491" s="302">
        <v>14.15</v>
      </c>
      <c r="G1491" s="302">
        <v>728.76</v>
      </c>
      <c r="H1491" s="303">
        <v>10167.209999999999</v>
      </c>
      <c r="I1491" s="303">
        <v>7086.86</v>
      </c>
      <c r="J1491" s="303">
        <v>80.86</v>
      </c>
      <c r="K1491" s="303">
        <v>2999.49</v>
      </c>
      <c r="L1491" s="357">
        <v>7.9063804969088993</v>
      </c>
      <c r="M1491" s="357">
        <v>13.05</v>
      </c>
      <c r="N1491" s="357">
        <v>5.7144876325088338</v>
      </c>
      <c r="O1491" s="357">
        <v>4.1158817717767162</v>
      </c>
      <c r="P1491" s="304"/>
      <c r="Q1491" s="304"/>
      <c r="R1491" s="304">
        <v>6</v>
      </c>
    </row>
    <row r="1492" spans="1:18">
      <c r="A1492" s="300">
        <v>63.61</v>
      </c>
      <c r="B1492" s="293" t="s">
        <v>2613</v>
      </c>
      <c r="C1492" s="301" t="s">
        <v>2614</v>
      </c>
      <c r="D1492" s="302">
        <v>1878.42</v>
      </c>
      <c r="E1492" s="302">
        <v>571.92999999999995</v>
      </c>
      <c r="F1492" s="302">
        <v>14.15</v>
      </c>
      <c r="G1492" s="302">
        <v>1292.3399999999999</v>
      </c>
      <c r="H1492" s="303">
        <v>13282.14</v>
      </c>
      <c r="I1492" s="303">
        <v>7463.53</v>
      </c>
      <c r="J1492" s="303">
        <v>80.86</v>
      </c>
      <c r="K1492" s="303">
        <v>5737.75</v>
      </c>
      <c r="L1492" s="357">
        <v>7.0709106589580601</v>
      </c>
      <c r="M1492" s="357">
        <v>13.05</v>
      </c>
      <c r="N1492" s="357">
        <v>5.7144876325088338</v>
      </c>
      <c r="O1492" s="357">
        <v>4.4398145998730989</v>
      </c>
      <c r="P1492" s="304"/>
      <c r="Q1492" s="304"/>
      <c r="R1492" s="304">
        <v>6</v>
      </c>
    </row>
    <row r="1493" spans="1:18">
      <c r="A1493" s="305">
        <v>63.62</v>
      </c>
      <c r="B1493" s="306" t="s">
        <v>2615</v>
      </c>
      <c r="C1493" s="307" t="s">
        <v>2616</v>
      </c>
      <c r="D1493" s="308">
        <v>4227.58</v>
      </c>
      <c r="E1493" s="308">
        <v>727.59</v>
      </c>
      <c r="F1493" s="308">
        <v>14.15</v>
      </c>
      <c r="G1493" s="308">
        <v>3485.84</v>
      </c>
      <c r="H1493" s="309">
        <v>23315.63</v>
      </c>
      <c r="I1493" s="309">
        <v>9495.07</v>
      </c>
      <c r="J1493" s="309">
        <v>80.86</v>
      </c>
      <c r="K1493" s="309">
        <v>13739.7</v>
      </c>
      <c r="L1493" s="356">
        <v>5.5151244920261711</v>
      </c>
      <c r="M1493" s="356">
        <v>13.05</v>
      </c>
      <c r="N1493" s="356">
        <v>5.7144876325088338</v>
      </c>
      <c r="O1493" s="356">
        <v>3.9415750579487296</v>
      </c>
      <c r="P1493" s="310"/>
      <c r="Q1493" s="310"/>
      <c r="R1493" s="310">
        <v>6</v>
      </c>
    </row>
    <row r="1494" spans="1:18" ht="12.75">
      <c r="A1494" s="428" t="s">
        <v>2617</v>
      </c>
      <c r="B1494" s="429"/>
      <c r="C1494" s="429"/>
      <c r="D1494" s="429"/>
      <c r="E1494" s="429"/>
      <c r="F1494" s="429"/>
      <c r="G1494" s="429"/>
      <c r="H1494" s="429"/>
      <c r="I1494" s="429"/>
      <c r="J1494" s="429"/>
      <c r="K1494" s="429"/>
      <c r="L1494" s="429"/>
      <c r="M1494" s="429"/>
      <c r="N1494" s="429"/>
      <c r="O1494" s="429"/>
      <c r="P1494" s="429"/>
      <c r="Q1494" s="429"/>
      <c r="R1494" s="429"/>
    </row>
    <row r="1495" spans="1:18">
      <c r="A1495" s="300">
        <v>63.63</v>
      </c>
      <c r="B1495" s="293" t="s">
        <v>2618</v>
      </c>
      <c r="C1495" s="301" t="s">
        <v>2619</v>
      </c>
      <c r="D1495" s="302">
        <v>3748.23</v>
      </c>
      <c r="E1495" s="302">
        <v>3426.18</v>
      </c>
      <c r="F1495" s="302">
        <v>322.05</v>
      </c>
      <c r="G1495" s="302"/>
      <c r="H1495" s="303">
        <v>47245.1</v>
      </c>
      <c r="I1495" s="303">
        <v>44711.48</v>
      </c>
      <c r="J1495" s="303">
        <v>2533.62</v>
      </c>
      <c r="K1495" s="303"/>
      <c r="L1495" s="357">
        <v>12.60464272469939</v>
      </c>
      <c r="M1495" s="357">
        <v>13.05</v>
      </c>
      <c r="N1495" s="357">
        <v>7.8671634839310656</v>
      </c>
      <c r="O1495" s="357" t="s">
        <v>135</v>
      </c>
      <c r="P1495" s="304"/>
      <c r="Q1495" s="304"/>
      <c r="R1495" s="304">
        <v>7</v>
      </c>
    </row>
    <row r="1496" spans="1:18">
      <c r="A1496" s="300">
        <v>63.64</v>
      </c>
      <c r="B1496" s="293" t="s">
        <v>2620</v>
      </c>
      <c r="C1496" s="301" t="s">
        <v>2621</v>
      </c>
      <c r="D1496" s="302">
        <v>6559.87</v>
      </c>
      <c r="E1496" s="302">
        <v>5760.8</v>
      </c>
      <c r="F1496" s="302">
        <v>799.07</v>
      </c>
      <c r="G1496" s="302"/>
      <c r="H1496" s="303">
        <v>81464.36</v>
      </c>
      <c r="I1496" s="303">
        <v>75178.16</v>
      </c>
      <c r="J1496" s="303">
        <v>6286.2</v>
      </c>
      <c r="K1496" s="303"/>
      <c r="L1496" s="357">
        <v>12.418593661154871</v>
      </c>
      <c r="M1496" s="357">
        <v>13.05</v>
      </c>
      <c r="N1496" s="357">
        <v>7.8668952657464297</v>
      </c>
      <c r="O1496" s="357" t="s">
        <v>135</v>
      </c>
      <c r="P1496" s="304"/>
      <c r="Q1496" s="304"/>
      <c r="R1496" s="304">
        <v>7</v>
      </c>
    </row>
    <row r="1497" spans="1:18">
      <c r="A1497" s="300">
        <v>63.65</v>
      </c>
      <c r="B1497" s="293" t="s">
        <v>2622</v>
      </c>
      <c r="C1497" s="301" t="s">
        <v>2623</v>
      </c>
      <c r="D1497" s="302">
        <v>5823.82</v>
      </c>
      <c r="E1497" s="302">
        <v>5150.09</v>
      </c>
      <c r="F1497" s="302">
        <v>673.73</v>
      </c>
      <c r="G1497" s="302"/>
      <c r="H1497" s="303">
        <v>72508.56</v>
      </c>
      <c r="I1497" s="303">
        <v>67208.44</v>
      </c>
      <c r="J1497" s="303">
        <v>5300.12</v>
      </c>
      <c r="K1497" s="303"/>
      <c r="L1497" s="357">
        <v>12.450343588915866</v>
      </c>
      <c r="M1497" s="357">
        <v>13.05</v>
      </c>
      <c r="N1497" s="357">
        <v>7.8668309263354752</v>
      </c>
      <c r="O1497" s="357" t="s">
        <v>135</v>
      </c>
      <c r="P1497" s="304"/>
      <c r="Q1497" s="304"/>
      <c r="R1497" s="304">
        <v>7</v>
      </c>
    </row>
    <row r="1498" spans="1:18" ht="24">
      <c r="A1498" s="300">
        <v>63.66</v>
      </c>
      <c r="B1498" s="293" t="s">
        <v>2624</v>
      </c>
      <c r="C1498" s="301" t="s">
        <v>2625</v>
      </c>
      <c r="D1498" s="302">
        <v>5514.46</v>
      </c>
      <c r="E1498" s="302">
        <v>4832.04</v>
      </c>
      <c r="F1498" s="302">
        <v>682.42</v>
      </c>
      <c r="G1498" s="302"/>
      <c r="H1498" s="303">
        <v>68426.38</v>
      </c>
      <c r="I1498" s="303">
        <v>63057.8</v>
      </c>
      <c r="J1498" s="303">
        <v>5368.58</v>
      </c>
      <c r="K1498" s="303"/>
      <c r="L1498" s="357">
        <v>12.408536828628733</v>
      </c>
      <c r="M1498" s="357">
        <v>13.05</v>
      </c>
      <c r="N1498" s="357">
        <v>7.8669734181295983</v>
      </c>
      <c r="O1498" s="357" t="s">
        <v>135</v>
      </c>
      <c r="P1498" s="304"/>
      <c r="Q1498" s="304"/>
      <c r="R1498" s="304">
        <v>7</v>
      </c>
    </row>
    <row r="1499" spans="1:18" ht="24">
      <c r="A1499" s="305">
        <v>63.67</v>
      </c>
      <c r="B1499" s="306" t="s">
        <v>2626</v>
      </c>
      <c r="C1499" s="307" t="s">
        <v>2627</v>
      </c>
      <c r="D1499" s="308">
        <v>882.65</v>
      </c>
      <c r="E1499" s="308">
        <v>699.16</v>
      </c>
      <c r="F1499" s="308">
        <v>183.49</v>
      </c>
      <c r="G1499" s="308"/>
      <c r="H1499" s="309">
        <v>10567.54</v>
      </c>
      <c r="I1499" s="309">
        <v>9124.0400000000009</v>
      </c>
      <c r="J1499" s="309">
        <v>1443.5</v>
      </c>
      <c r="K1499" s="309"/>
      <c r="L1499" s="356">
        <v>11.972514586755793</v>
      </c>
      <c r="M1499" s="356">
        <v>13.05</v>
      </c>
      <c r="N1499" s="356">
        <v>7.8669137282685702</v>
      </c>
      <c r="O1499" s="356" t="s">
        <v>135</v>
      </c>
      <c r="P1499" s="310"/>
      <c r="Q1499" s="310"/>
      <c r="R1499" s="310">
        <v>7</v>
      </c>
    </row>
    <row r="1500" spans="1:18" ht="12.75">
      <c r="A1500" s="428" t="s">
        <v>2628</v>
      </c>
      <c r="B1500" s="429"/>
      <c r="C1500" s="429"/>
      <c r="D1500" s="429"/>
      <c r="E1500" s="429"/>
      <c r="F1500" s="429"/>
      <c r="G1500" s="429"/>
      <c r="H1500" s="429"/>
      <c r="I1500" s="429"/>
      <c r="J1500" s="429"/>
      <c r="K1500" s="429"/>
      <c r="L1500" s="429"/>
      <c r="M1500" s="429"/>
      <c r="N1500" s="429"/>
      <c r="O1500" s="429"/>
      <c r="P1500" s="429"/>
      <c r="Q1500" s="429"/>
      <c r="R1500" s="429"/>
    </row>
    <row r="1501" spans="1:18" ht="24">
      <c r="A1501" s="300">
        <v>63.68</v>
      </c>
      <c r="B1501" s="293" t="s">
        <v>2629</v>
      </c>
      <c r="C1501" s="301" t="s">
        <v>2630</v>
      </c>
      <c r="D1501" s="302">
        <v>355.67</v>
      </c>
      <c r="E1501" s="302">
        <v>243.54</v>
      </c>
      <c r="F1501" s="302">
        <v>7.08</v>
      </c>
      <c r="G1501" s="302">
        <v>105.05</v>
      </c>
      <c r="H1501" s="303">
        <v>3659.75</v>
      </c>
      <c r="I1501" s="303">
        <v>3178.22</v>
      </c>
      <c r="J1501" s="303">
        <v>40.43</v>
      </c>
      <c r="K1501" s="303">
        <v>441.1</v>
      </c>
      <c r="L1501" s="357">
        <v>10.289734866589816</v>
      </c>
      <c r="M1501" s="357">
        <v>13.05</v>
      </c>
      <c r="N1501" s="357">
        <v>5.7104519774011298</v>
      </c>
      <c r="O1501" s="357">
        <v>4.1989528795811522</v>
      </c>
      <c r="P1501" s="304"/>
      <c r="Q1501" s="304"/>
      <c r="R1501" s="304">
        <v>8</v>
      </c>
    </row>
    <row r="1502" spans="1:18" ht="24">
      <c r="A1502" s="300">
        <v>63.69</v>
      </c>
      <c r="B1502" s="293" t="s">
        <v>2631</v>
      </c>
      <c r="C1502" s="301" t="s">
        <v>2632</v>
      </c>
      <c r="D1502" s="302">
        <v>449.42</v>
      </c>
      <c r="E1502" s="302">
        <v>337.29</v>
      </c>
      <c r="F1502" s="302">
        <v>7.08</v>
      </c>
      <c r="G1502" s="302">
        <v>105.05</v>
      </c>
      <c r="H1502" s="303">
        <v>4883.17</v>
      </c>
      <c r="I1502" s="303">
        <v>4401.6400000000003</v>
      </c>
      <c r="J1502" s="303">
        <v>40.43</v>
      </c>
      <c r="K1502" s="303">
        <v>441.1</v>
      </c>
      <c r="L1502" s="357">
        <v>10.86549330247875</v>
      </c>
      <c r="M1502" s="357">
        <v>13.05</v>
      </c>
      <c r="N1502" s="357">
        <v>5.7104519774011298</v>
      </c>
      <c r="O1502" s="357">
        <v>4.1989528795811522</v>
      </c>
      <c r="P1502" s="304"/>
      <c r="Q1502" s="304"/>
      <c r="R1502" s="304">
        <v>8</v>
      </c>
    </row>
    <row r="1503" spans="1:18" ht="24">
      <c r="A1503" s="300">
        <v>63.7</v>
      </c>
      <c r="B1503" s="293" t="s">
        <v>2633</v>
      </c>
      <c r="C1503" s="301" t="s">
        <v>2634</v>
      </c>
      <c r="D1503" s="302">
        <v>534</v>
      </c>
      <c r="E1503" s="302">
        <v>421.87</v>
      </c>
      <c r="F1503" s="302">
        <v>7.08</v>
      </c>
      <c r="G1503" s="302">
        <v>105.05</v>
      </c>
      <c r="H1503" s="303">
        <v>5986.9</v>
      </c>
      <c r="I1503" s="303">
        <v>5505.37</v>
      </c>
      <c r="J1503" s="303">
        <v>40.43</v>
      </c>
      <c r="K1503" s="303">
        <v>441.1</v>
      </c>
      <c r="L1503" s="357">
        <v>11.211423220973781</v>
      </c>
      <c r="M1503" s="357">
        <v>13.05</v>
      </c>
      <c r="N1503" s="357">
        <v>5.7104519774011298</v>
      </c>
      <c r="O1503" s="357">
        <v>4.1989528795811522</v>
      </c>
      <c r="P1503" s="304"/>
      <c r="Q1503" s="304"/>
      <c r="R1503" s="304">
        <v>8</v>
      </c>
    </row>
    <row r="1504" spans="1:18" ht="24">
      <c r="A1504" s="305">
        <v>63.71</v>
      </c>
      <c r="B1504" s="306" t="s">
        <v>2635</v>
      </c>
      <c r="C1504" s="307" t="s">
        <v>2636</v>
      </c>
      <c r="D1504" s="308">
        <v>672.39</v>
      </c>
      <c r="E1504" s="308">
        <v>407.6</v>
      </c>
      <c r="F1504" s="308">
        <v>7.08</v>
      </c>
      <c r="G1504" s="308">
        <v>257.70999999999998</v>
      </c>
      <c r="H1504" s="309">
        <v>6390.93</v>
      </c>
      <c r="I1504" s="309">
        <v>5319.2</v>
      </c>
      <c r="J1504" s="309">
        <v>40.43</v>
      </c>
      <c r="K1504" s="309">
        <v>1031.3</v>
      </c>
      <c r="L1504" s="356">
        <v>9.5047963235622195</v>
      </c>
      <c r="M1504" s="356">
        <v>13.05</v>
      </c>
      <c r="N1504" s="356">
        <v>5.7104519774011298</v>
      </c>
      <c r="O1504" s="356">
        <v>4.0017849520779176</v>
      </c>
      <c r="P1504" s="310"/>
      <c r="Q1504" s="310"/>
      <c r="R1504" s="310">
        <v>8</v>
      </c>
    </row>
    <row r="1505" spans="1:18" ht="12.75">
      <c r="A1505" s="428" t="s">
        <v>2637</v>
      </c>
      <c r="B1505" s="429"/>
      <c r="C1505" s="429"/>
      <c r="D1505" s="429"/>
      <c r="E1505" s="429"/>
      <c r="F1505" s="429"/>
      <c r="G1505" s="429"/>
      <c r="H1505" s="429"/>
      <c r="I1505" s="429"/>
      <c r="J1505" s="429"/>
      <c r="K1505" s="429"/>
      <c r="L1505" s="429"/>
      <c r="M1505" s="429"/>
      <c r="N1505" s="429"/>
      <c r="O1505" s="429"/>
      <c r="P1505" s="429"/>
      <c r="Q1505" s="429"/>
      <c r="R1505" s="429"/>
    </row>
    <row r="1506" spans="1:18" ht="36">
      <c r="A1506" s="300">
        <v>63.72</v>
      </c>
      <c r="B1506" s="293" t="s">
        <v>2638</v>
      </c>
      <c r="C1506" s="301" t="s">
        <v>2639</v>
      </c>
      <c r="D1506" s="302">
        <v>498.39</v>
      </c>
      <c r="E1506" s="302">
        <v>289.48</v>
      </c>
      <c r="F1506" s="302">
        <v>7.08</v>
      </c>
      <c r="G1506" s="302">
        <v>201.83</v>
      </c>
      <c r="H1506" s="303">
        <v>4767.8599999999997</v>
      </c>
      <c r="I1506" s="303">
        <v>3777.77</v>
      </c>
      <c r="J1506" s="303">
        <v>40.43</v>
      </c>
      <c r="K1506" s="303">
        <v>949.66</v>
      </c>
      <c r="L1506" s="357">
        <v>9.5665242079495965</v>
      </c>
      <c r="M1506" s="357">
        <v>13.05</v>
      </c>
      <c r="N1506" s="357">
        <v>5.7104519774011298</v>
      </c>
      <c r="O1506" s="357">
        <v>4.7052469900411236</v>
      </c>
      <c r="P1506" s="304"/>
      <c r="Q1506" s="304"/>
      <c r="R1506" s="304">
        <v>9</v>
      </c>
    </row>
    <row r="1507" spans="1:18" ht="36">
      <c r="A1507" s="300">
        <v>63.73</v>
      </c>
      <c r="B1507" s="293" t="s">
        <v>2640</v>
      </c>
      <c r="C1507" s="301" t="s">
        <v>2641</v>
      </c>
      <c r="D1507" s="302">
        <v>423.46</v>
      </c>
      <c r="E1507" s="302">
        <v>214.55</v>
      </c>
      <c r="F1507" s="302">
        <v>7.08</v>
      </c>
      <c r="G1507" s="302">
        <v>201.83</v>
      </c>
      <c r="H1507" s="303">
        <v>3790.09</v>
      </c>
      <c r="I1507" s="303">
        <v>2800</v>
      </c>
      <c r="J1507" s="303">
        <v>40.43</v>
      </c>
      <c r="K1507" s="303">
        <v>949.66</v>
      </c>
      <c r="L1507" s="357">
        <v>8.9502904642705339</v>
      </c>
      <c r="M1507" s="357">
        <v>13.05</v>
      </c>
      <c r="N1507" s="357">
        <v>5.7104519774011298</v>
      </c>
      <c r="O1507" s="357">
        <v>4.7052469900411236</v>
      </c>
      <c r="P1507" s="304"/>
      <c r="Q1507" s="304"/>
      <c r="R1507" s="304">
        <v>9</v>
      </c>
    </row>
    <row r="1508" spans="1:18" ht="48">
      <c r="A1508" s="300">
        <v>63.74</v>
      </c>
      <c r="B1508" s="293" t="s">
        <v>2642</v>
      </c>
      <c r="C1508" s="301" t="s">
        <v>2643</v>
      </c>
      <c r="D1508" s="302">
        <v>748.14</v>
      </c>
      <c r="E1508" s="302">
        <v>539.22</v>
      </c>
      <c r="F1508" s="302">
        <v>7.08</v>
      </c>
      <c r="G1508" s="302">
        <v>201.84</v>
      </c>
      <c r="H1508" s="303">
        <v>8027.22</v>
      </c>
      <c r="I1508" s="303">
        <v>7037.03</v>
      </c>
      <c r="J1508" s="303">
        <v>40.43</v>
      </c>
      <c r="K1508" s="303">
        <v>949.76</v>
      </c>
      <c r="L1508" s="357">
        <v>10.729569331943219</v>
      </c>
      <c r="M1508" s="357">
        <v>13.05</v>
      </c>
      <c r="N1508" s="357">
        <v>5.7104519774011298</v>
      </c>
      <c r="O1508" s="357">
        <v>4.7055093143083626</v>
      </c>
      <c r="P1508" s="304"/>
      <c r="Q1508" s="304"/>
      <c r="R1508" s="304">
        <v>9</v>
      </c>
    </row>
    <row r="1509" spans="1:18" ht="48">
      <c r="A1509" s="300">
        <v>63.75</v>
      </c>
      <c r="B1509" s="293" t="s">
        <v>2644</v>
      </c>
      <c r="C1509" s="301" t="s">
        <v>2645</v>
      </c>
      <c r="D1509" s="302">
        <v>593.75</v>
      </c>
      <c r="E1509" s="302">
        <v>384.83</v>
      </c>
      <c r="F1509" s="302">
        <v>7.08</v>
      </c>
      <c r="G1509" s="302">
        <v>201.84</v>
      </c>
      <c r="H1509" s="303">
        <v>6012.41</v>
      </c>
      <c r="I1509" s="303">
        <v>5022.22</v>
      </c>
      <c r="J1509" s="303">
        <v>40.43</v>
      </c>
      <c r="K1509" s="303">
        <v>949.76</v>
      </c>
      <c r="L1509" s="357">
        <v>10.126164210526316</v>
      </c>
      <c r="M1509" s="357">
        <v>13.05</v>
      </c>
      <c r="N1509" s="357">
        <v>5.7104519774011298</v>
      </c>
      <c r="O1509" s="357">
        <v>4.7055093143083626</v>
      </c>
      <c r="P1509" s="304"/>
      <c r="Q1509" s="304"/>
      <c r="R1509" s="304">
        <v>9</v>
      </c>
    </row>
    <row r="1510" spans="1:18" ht="24">
      <c r="A1510" s="300">
        <v>63.76</v>
      </c>
      <c r="B1510" s="293" t="s">
        <v>2646</v>
      </c>
      <c r="C1510" s="301" t="s">
        <v>2647</v>
      </c>
      <c r="D1510" s="302">
        <v>639.11</v>
      </c>
      <c r="E1510" s="302">
        <v>287.20999999999998</v>
      </c>
      <c r="F1510" s="302">
        <v>7.08</v>
      </c>
      <c r="G1510" s="302">
        <v>344.82</v>
      </c>
      <c r="H1510" s="303">
        <v>5573.47</v>
      </c>
      <c r="I1510" s="303">
        <v>3748.14</v>
      </c>
      <c r="J1510" s="303">
        <v>40.43</v>
      </c>
      <c r="K1510" s="303">
        <v>1784.9</v>
      </c>
      <c r="L1510" s="357">
        <v>8.7206740623679799</v>
      </c>
      <c r="M1510" s="357">
        <v>13.05</v>
      </c>
      <c r="N1510" s="357">
        <v>5.7104519774011298</v>
      </c>
      <c r="O1510" s="357">
        <v>5.1763238791253414</v>
      </c>
      <c r="P1510" s="304"/>
      <c r="Q1510" s="304"/>
      <c r="R1510" s="304">
        <v>9</v>
      </c>
    </row>
    <row r="1511" spans="1:18" ht="24">
      <c r="A1511" s="305">
        <v>63.77</v>
      </c>
      <c r="B1511" s="306" t="s">
        <v>2648</v>
      </c>
      <c r="C1511" s="307" t="s">
        <v>2649</v>
      </c>
      <c r="D1511" s="308">
        <v>704.78</v>
      </c>
      <c r="E1511" s="308">
        <v>287.20999999999998</v>
      </c>
      <c r="F1511" s="308">
        <v>7.08</v>
      </c>
      <c r="G1511" s="308">
        <v>410.49</v>
      </c>
      <c r="H1511" s="309">
        <v>5702.33</v>
      </c>
      <c r="I1511" s="309">
        <v>3748.14</v>
      </c>
      <c r="J1511" s="309">
        <v>40.43</v>
      </c>
      <c r="K1511" s="309">
        <v>1913.76</v>
      </c>
      <c r="L1511" s="356">
        <v>8.0909361786656824</v>
      </c>
      <c r="M1511" s="356">
        <v>13.05</v>
      </c>
      <c r="N1511" s="356">
        <v>5.7104519774011298</v>
      </c>
      <c r="O1511" s="356">
        <v>4.6621354966016222</v>
      </c>
      <c r="P1511" s="310"/>
      <c r="Q1511" s="310"/>
      <c r="R1511" s="310">
        <v>9</v>
      </c>
    </row>
    <row r="1512" spans="1:18" ht="12.75">
      <c r="A1512" s="428" t="s">
        <v>2650</v>
      </c>
      <c r="B1512" s="429"/>
      <c r="C1512" s="429"/>
      <c r="D1512" s="429"/>
      <c r="E1512" s="429"/>
      <c r="F1512" s="429"/>
      <c r="G1512" s="429"/>
      <c r="H1512" s="429"/>
      <c r="I1512" s="429"/>
      <c r="J1512" s="429"/>
      <c r="K1512" s="429"/>
      <c r="L1512" s="429"/>
      <c r="M1512" s="429"/>
      <c r="N1512" s="429"/>
      <c r="O1512" s="429"/>
      <c r="P1512" s="429"/>
      <c r="Q1512" s="429"/>
      <c r="R1512" s="429"/>
    </row>
    <row r="1513" spans="1:18" ht="24">
      <c r="A1513" s="300">
        <v>63.78</v>
      </c>
      <c r="B1513" s="293" t="s">
        <v>2651</v>
      </c>
      <c r="C1513" s="301" t="s">
        <v>2652</v>
      </c>
      <c r="D1513" s="302">
        <v>82.76</v>
      </c>
      <c r="E1513" s="302">
        <v>75.44</v>
      </c>
      <c r="F1513" s="302">
        <v>7.32</v>
      </c>
      <c r="G1513" s="302"/>
      <c r="H1513" s="303">
        <v>1040.0899999999999</v>
      </c>
      <c r="I1513" s="303">
        <v>984.51</v>
      </c>
      <c r="J1513" s="303">
        <v>55.58</v>
      </c>
      <c r="K1513" s="303"/>
      <c r="L1513" s="357">
        <v>12.567544707588205</v>
      </c>
      <c r="M1513" s="357">
        <v>13.05</v>
      </c>
      <c r="N1513" s="357">
        <v>7.5928961748633874</v>
      </c>
      <c r="O1513" s="357" t="s">
        <v>135</v>
      </c>
      <c r="P1513" s="304"/>
      <c r="Q1513" s="304"/>
      <c r="R1513" s="304">
        <v>10</v>
      </c>
    </row>
    <row r="1514" spans="1:18" ht="24">
      <c r="A1514" s="305">
        <v>63.79</v>
      </c>
      <c r="B1514" s="306" t="s">
        <v>2653</v>
      </c>
      <c r="C1514" s="307" t="s">
        <v>2654</v>
      </c>
      <c r="D1514" s="308">
        <v>106.19</v>
      </c>
      <c r="E1514" s="308">
        <v>98.87</v>
      </c>
      <c r="F1514" s="308">
        <v>7.32</v>
      </c>
      <c r="G1514" s="308"/>
      <c r="H1514" s="309">
        <v>1345.81</v>
      </c>
      <c r="I1514" s="309">
        <v>1290.23</v>
      </c>
      <c r="J1514" s="309">
        <v>55.58</v>
      </c>
      <c r="K1514" s="309"/>
      <c r="L1514" s="356">
        <v>12.673603917506357</v>
      </c>
      <c r="M1514" s="356">
        <v>13.05</v>
      </c>
      <c r="N1514" s="356">
        <v>7.5928961748633874</v>
      </c>
      <c r="O1514" s="356" t="s">
        <v>135</v>
      </c>
      <c r="P1514" s="310"/>
      <c r="Q1514" s="310"/>
      <c r="R1514" s="310">
        <v>10</v>
      </c>
    </row>
    <row r="1515" spans="1:18" ht="12.75">
      <c r="A1515" s="428" t="s">
        <v>2655</v>
      </c>
      <c r="B1515" s="429"/>
      <c r="C1515" s="429"/>
      <c r="D1515" s="429"/>
      <c r="E1515" s="429"/>
      <c r="F1515" s="429"/>
      <c r="G1515" s="429"/>
      <c r="H1515" s="429"/>
      <c r="I1515" s="429"/>
      <c r="J1515" s="429"/>
      <c r="K1515" s="429"/>
      <c r="L1515" s="429"/>
      <c r="M1515" s="429"/>
      <c r="N1515" s="429"/>
      <c r="O1515" s="429"/>
      <c r="P1515" s="429"/>
      <c r="Q1515" s="429"/>
      <c r="R1515" s="429"/>
    </row>
    <row r="1516" spans="1:18" ht="36">
      <c r="A1516" s="300">
        <v>63.8</v>
      </c>
      <c r="B1516" s="293" t="s">
        <v>2656</v>
      </c>
      <c r="C1516" s="301" t="s">
        <v>2657</v>
      </c>
      <c r="D1516" s="302">
        <v>2960.83</v>
      </c>
      <c r="E1516" s="302">
        <v>378.81</v>
      </c>
      <c r="F1516" s="302">
        <v>27.57</v>
      </c>
      <c r="G1516" s="302">
        <v>2554.4499999999998</v>
      </c>
      <c r="H1516" s="303">
        <v>18943.810000000001</v>
      </c>
      <c r="I1516" s="303">
        <v>4943.41</v>
      </c>
      <c r="J1516" s="303">
        <v>156.15</v>
      </c>
      <c r="K1516" s="303">
        <v>13844.25</v>
      </c>
      <c r="L1516" s="357">
        <v>6.3981417372831269</v>
      </c>
      <c r="M1516" s="357">
        <v>13.05</v>
      </c>
      <c r="N1516" s="357">
        <v>5.6637649619151249</v>
      </c>
      <c r="O1516" s="357">
        <v>5.4196598093523072</v>
      </c>
      <c r="P1516" s="304"/>
      <c r="Q1516" s="304"/>
      <c r="R1516" s="304">
        <v>11</v>
      </c>
    </row>
    <row r="1517" spans="1:18" ht="36">
      <c r="A1517" s="300">
        <v>63.81</v>
      </c>
      <c r="B1517" s="293" t="s">
        <v>2658</v>
      </c>
      <c r="C1517" s="301" t="s">
        <v>2659</v>
      </c>
      <c r="D1517" s="302">
        <v>2901.69</v>
      </c>
      <c r="E1517" s="302">
        <v>319.67</v>
      </c>
      <c r="F1517" s="302">
        <v>27.57</v>
      </c>
      <c r="G1517" s="302">
        <v>2554.4499999999998</v>
      </c>
      <c r="H1517" s="303">
        <v>18171.96</v>
      </c>
      <c r="I1517" s="303">
        <v>4171.5600000000004</v>
      </c>
      <c r="J1517" s="303">
        <v>156.15</v>
      </c>
      <c r="K1517" s="303">
        <v>13844.25</v>
      </c>
      <c r="L1517" s="357">
        <v>6.2625435522057833</v>
      </c>
      <c r="M1517" s="357">
        <v>13.05</v>
      </c>
      <c r="N1517" s="357">
        <v>5.6637649619151249</v>
      </c>
      <c r="O1517" s="357">
        <v>5.4196598093523072</v>
      </c>
      <c r="P1517" s="304"/>
      <c r="Q1517" s="304"/>
      <c r="R1517" s="304">
        <v>11</v>
      </c>
    </row>
    <row r="1518" spans="1:18" ht="36">
      <c r="A1518" s="305">
        <v>63.82</v>
      </c>
      <c r="B1518" s="306" t="s">
        <v>2660</v>
      </c>
      <c r="C1518" s="307" t="s">
        <v>2661</v>
      </c>
      <c r="D1518" s="308">
        <v>2842.43</v>
      </c>
      <c r="E1518" s="308">
        <v>260.41000000000003</v>
      </c>
      <c r="F1518" s="308">
        <v>27.57</v>
      </c>
      <c r="G1518" s="308">
        <v>2554.4499999999998</v>
      </c>
      <c r="H1518" s="309">
        <v>17398.740000000002</v>
      </c>
      <c r="I1518" s="309">
        <v>3398.34</v>
      </c>
      <c r="J1518" s="309">
        <v>156.15</v>
      </c>
      <c r="K1518" s="309">
        <v>13844.25</v>
      </c>
      <c r="L1518" s="356">
        <v>6.1210794988794808</v>
      </c>
      <c r="M1518" s="356">
        <v>13.05</v>
      </c>
      <c r="N1518" s="356">
        <v>5.6637649619151249</v>
      </c>
      <c r="O1518" s="356">
        <v>5.4196598093523072</v>
      </c>
      <c r="P1518" s="310"/>
      <c r="Q1518" s="310"/>
      <c r="R1518" s="310">
        <v>11</v>
      </c>
    </row>
    <row r="1519" spans="1:18" ht="12.75">
      <c r="A1519" s="428" t="s">
        <v>2662</v>
      </c>
      <c r="B1519" s="429"/>
      <c r="C1519" s="429"/>
      <c r="D1519" s="429"/>
      <c r="E1519" s="429"/>
      <c r="F1519" s="429"/>
      <c r="G1519" s="429"/>
      <c r="H1519" s="429"/>
      <c r="I1519" s="429"/>
      <c r="J1519" s="429"/>
      <c r="K1519" s="429"/>
      <c r="L1519" s="429"/>
      <c r="M1519" s="429"/>
      <c r="N1519" s="429"/>
      <c r="O1519" s="429"/>
      <c r="P1519" s="429"/>
      <c r="Q1519" s="429"/>
      <c r="R1519" s="429"/>
    </row>
    <row r="1520" spans="1:18" ht="36">
      <c r="A1520" s="300">
        <v>63.83</v>
      </c>
      <c r="B1520" s="293" t="s">
        <v>2663</v>
      </c>
      <c r="C1520" s="301" t="s">
        <v>2664</v>
      </c>
      <c r="D1520" s="302">
        <v>3020.08</v>
      </c>
      <c r="E1520" s="302">
        <v>438.06</v>
      </c>
      <c r="F1520" s="302">
        <v>27.57</v>
      </c>
      <c r="G1520" s="302">
        <v>2554.4499999999998</v>
      </c>
      <c r="H1520" s="303">
        <v>19717.03</v>
      </c>
      <c r="I1520" s="303">
        <v>5716.63</v>
      </c>
      <c r="J1520" s="303">
        <v>156.15</v>
      </c>
      <c r="K1520" s="303">
        <v>13844.25</v>
      </c>
      <c r="L1520" s="357">
        <v>6.5286449365579715</v>
      </c>
      <c r="M1520" s="357">
        <v>13.05</v>
      </c>
      <c r="N1520" s="357">
        <v>5.6637649619151249</v>
      </c>
      <c r="O1520" s="357">
        <v>5.4196598093523072</v>
      </c>
      <c r="P1520" s="304"/>
      <c r="Q1520" s="304"/>
      <c r="R1520" s="304">
        <v>12</v>
      </c>
    </row>
    <row r="1521" spans="1:18" ht="36">
      <c r="A1521" s="300">
        <v>63.84</v>
      </c>
      <c r="B1521" s="293" t="s">
        <v>2665</v>
      </c>
      <c r="C1521" s="301" t="s">
        <v>2666</v>
      </c>
      <c r="D1521" s="302">
        <v>2960.83</v>
      </c>
      <c r="E1521" s="302">
        <v>378.81</v>
      </c>
      <c r="F1521" s="302">
        <v>27.57</v>
      </c>
      <c r="G1521" s="302">
        <v>2554.4499999999998</v>
      </c>
      <c r="H1521" s="303">
        <v>18943.810000000001</v>
      </c>
      <c r="I1521" s="303">
        <v>4943.41</v>
      </c>
      <c r="J1521" s="303">
        <v>156.15</v>
      </c>
      <c r="K1521" s="303">
        <v>13844.25</v>
      </c>
      <c r="L1521" s="357">
        <v>6.3981417372831269</v>
      </c>
      <c r="M1521" s="357">
        <v>13.05</v>
      </c>
      <c r="N1521" s="357">
        <v>5.6637649619151249</v>
      </c>
      <c r="O1521" s="357">
        <v>5.4196598093523072</v>
      </c>
      <c r="P1521" s="304"/>
      <c r="Q1521" s="304"/>
      <c r="R1521" s="304">
        <v>12</v>
      </c>
    </row>
    <row r="1522" spans="1:18" ht="36">
      <c r="A1522" s="300">
        <v>63.85</v>
      </c>
      <c r="B1522" s="293" t="s">
        <v>2667</v>
      </c>
      <c r="C1522" s="301" t="s">
        <v>2668</v>
      </c>
      <c r="D1522" s="302">
        <v>2901.69</v>
      </c>
      <c r="E1522" s="302">
        <v>319.67</v>
      </c>
      <c r="F1522" s="302">
        <v>27.57</v>
      </c>
      <c r="G1522" s="302">
        <v>2554.4499999999998</v>
      </c>
      <c r="H1522" s="303">
        <v>18171.96</v>
      </c>
      <c r="I1522" s="303">
        <v>4171.5600000000004</v>
      </c>
      <c r="J1522" s="303">
        <v>156.15</v>
      </c>
      <c r="K1522" s="303">
        <v>13844.25</v>
      </c>
      <c r="L1522" s="357">
        <v>6.2625435522057833</v>
      </c>
      <c r="M1522" s="357">
        <v>13.05</v>
      </c>
      <c r="N1522" s="357">
        <v>5.6637649619151249</v>
      </c>
      <c r="O1522" s="357">
        <v>5.4196598093523072</v>
      </c>
      <c r="P1522" s="304"/>
      <c r="Q1522" s="304"/>
      <c r="R1522" s="304">
        <v>12</v>
      </c>
    </row>
    <row r="1523" spans="1:18" ht="12.75">
      <c r="A1523" s="291"/>
      <c r="B1523" s="297"/>
      <c r="C1523" s="296"/>
      <c r="D1523" s="298"/>
      <c r="E1523" s="298"/>
      <c r="F1523" s="298"/>
      <c r="G1523" s="298"/>
      <c r="H1523" s="299"/>
      <c r="I1523" s="299"/>
      <c r="J1523" s="299"/>
      <c r="K1523" s="299"/>
      <c r="L1523" s="355"/>
      <c r="M1523" s="355"/>
      <c r="N1523" s="355"/>
      <c r="O1523" s="354"/>
      <c r="P1523" s="290"/>
      <c r="Q1523" s="290"/>
      <c r="R1523" s="290"/>
    </row>
    <row r="1524" spans="1:18">
      <c r="A1524" s="271"/>
      <c r="B1524" s="274"/>
      <c r="C1524" s="271"/>
      <c r="D1524" s="271"/>
      <c r="E1524" s="271"/>
      <c r="F1524" s="271"/>
      <c r="G1524" s="271"/>
      <c r="H1524" s="273"/>
      <c r="I1524" s="273"/>
      <c r="J1524" s="273"/>
      <c r="K1524" s="273"/>
      <c r="O1524" s="353"/>
      <c r="P1524" s="271"/>
      <c r="Q1524" s="271"/>
      <c r="R1524" s="271"/>
    </row>
    <row r="1525" spans="1:18">
      <c r="O1525" s="353"/>
    </row>
    <row r="1526" spans="1:18">
      <c r="O1526" s="352"/>
    </row>
    <row r="1527" spans="1:18" ht="23.25">
      <c r="A1527" s="61"/>
      <c r="B1527" s="60"/>
      <c r="C1527" s="45" t="s">
        <v>2669</v>
      </c>
      <c r="D1527" s="45"/>
      <c r="E1527" s="45"/>
      <c r="F1527" s="45"/>
      <c r="G1527" s="45"/>
      <c r="H1527" s="58"/>
      <c r="I1527" s="58"/>
      <c r="J1527" s="58"/>
      <c r="K1527" s="58"/>
      <c r="L1527" s="351"/>
      <c r="M1527" s="351"/>
      <c r="N1527" s="351"/>
      <c r="O1527" s="350"/>
    </row>
    <row r="1528" spans="1:18" ht="12.75">
      <c r="A1528" s="428" t="s">
        <v>2670</v>
      </c>
      <c r="B1528" s="429"/>
      <c r="C1528" s="429"/>
      <c r="D1528" s="429"/>
      <c r="E1528" s="429"/>
      <c r="F1528" s="429"/>
      <c r="G1528" s="429"/>
      <c r="H1528" s="429"/>
      <c r="I1528" s="429"/>
      <c r="J1528" s="429"/>
      <c r="K1528" s="429"/>
      <c r="L1528" s="429"/>
      <c r="M1528" s="429"/>
      <c r="N1528" s="429"/>
      <c r="O1528" s="429"/>
      <c r="P1528" s="429"/>
      <c r="Q1528" s="429"/>
      <c r="R1528" s="429"/>
    </row>
    <row r="1529" spans="1:18" ht="24">
      <c r="A1529" s="321">
        <v>64.099999999999994</v>
      </c>
      <c r="B1529" s="314" t="s">
        <v>2671</v>
      </c>
      <c r="C1529" s="322" t="s">
        <v>2672</v>
      </c>
      <c r="D1529" s="323">
        <v>139.88</v>
      </c>
      <c r="E1529" s="323">
        <v>28.74</v>
      </c>
      <c r="F1529" s="323">
        <v>2.2000000000000002</v>
      </c>
      <c r="G1529" s="323">
        <v>108.94</v>
      </c>
      <c r="H1529" s="324">
        <v>1206.82</v>
      </c>
      <c r="I1529" s="324">
        <v>375.02</v>
      </c>
      <c r="J1529" s="324">
        <v>16.670000000000002</v>
      </c>
      <c r="K1529" s="324">
        <v>815.13</v>
      </c>
      <c r="L1529" s="357">
        <v>8.6275378896196742</v>
      </c>
      <c r="M1529" s="357">
        <v>13.05</v>
      </c>
      <c r="N1529" s="357">
        <v>7.5772727272727272</v>
      </c>
      <c r="O1529" s="357">
        <v>7.4823756196071232</v>
      </c>
      <c r="P1529" s="325"/>
      <c r="Q1529" s="325"/>
      <c r="R1529" s="325">
        <v>1</v>
      </c>
    </row>
    <row r="1530" spans="1:18" ht="24">
      <c r="A1530" s="321">
        <v>64.2</v>
      </c>
      <c r="B1530" s="314" t="s">
        <v>2673</v>
      </c>
      <c r="C1530" s="322" t="s">
        <v>2674</v>
      </c>
      <c r="D1530" s="323">
        <v>98.62</v>
      </c>
      <c r="E1530" s="323">
        <v>18.71</v>
      </c>
      <c r="F1530" s="323">
        <v>0.73</v>
      </c>
      <c r="G1530" s="323">
        <v>79.180000000000007</v>
      </c>
      <c r="H1530" s="324">
        <v>982.91</v>
      </c>
      <c r="I1530" s="324">
        <v>244.1</v>
      </c>
      <c r="J1530" s="324">
        <v>5.56</v>
      </c>
      <c r="K1530" s="324">
        <v>733.25</v>
      </c>
      <c r="L1530" s="357">
        <v>9.9666396268505366</v>
      </c>
      <c r="M1530" s="357">
        <v>13.05</v>
      </c>
      <c r="N1530" s="357">
        <v>7.6164383561643829</v>
      </c>
      <c r="O1530" s="357">
        <v>9.2605455923212929</v>
      </c>
      <c r="P1530" s="325"/>
      <c r="Q1530" s="325"/>
      <c r="R1530" s="325">
        <v>1</v>
      </c>
    </row>
    <row r="1531" spans="1:18" ht="24">
      <c r="A1531" s="321">
        <v>64.3</v>
      </c>
      <c r="B1531" s="314" t="s">
        <v>2675</v>
      </c>
      <c r="C1531" s="322" t="s">
        <v>2676</v>
      </c>
      <c r="D1531" s="323">
        <v>1.83</v>
      </c>
      <c r="E1531" s="323">
        <v>1.83</v>
      </c>
      <c r="F1531" s="323"/>
      <c r="G1531" s="323"/>
      <c r="H1531" s="324">
        <v>23.94</v>
      </c>
      <c r="I1531" s="324">
        <v>23.94</v>
      </c>
      <c r="J1531" s="324"/>
      <c r="K1531" s="324"/>
      <c r="L1531" s="357">
        <v>13.081967213114755</v>
      </c>
      <c r="M1531" s="357">
        <v>13.05</v>
      </c>
      <c r="N1531" s="357" t="s">
        <v>135</v>
      </c>
      <c r="O1531" s="357" t="s">
        <v>135</v>
      </c>
      <c r="P1531" s="325"/>
      <c r="Q1531" s="325"/>
      <c r="R1531" s="325">
        <v>1</v>
      </c>
    </row>
    <row r="1532" spans="1:18" ht="24">
      <c r="A1532" s="321">
        <v>64.400000000000006</v>
      </c>
      <c r="B1532" s="314" t="s">
        <v>2677</v>
      </c>
      <c r="C1532" s="322" t="s">
        <v>2678</v>
      </c>
      <c r="D1532" s="323">
        <v>7.64</v>
      </c>
      <c r="E1532" s="323">
        <v>7.64</v>
      </c>
      <c r="F1532" s="323"/>
      <c r="G1532" s="323"/>
      <c r="H1532" s="324">
        <v>99.74</v>
      </c>
      <c r="I1532" s="324">
        <v>99.74</v>
      </c>
      <c r="J1532" s="324"/>
      <c r="K1532" s="324"/>
      <c r="L1532" s="357">
        <v>13.054973821989529</v>
      </c>
      <c r="M1532" s="357">
        <v>13.05</v>
      </c>
      <c r="N1532" s="357" t="s">
        <v>135</v>
      </c>
      <c r="O1532" s="357" t="s">
        <v>135</v>
      </c>
      <c r="P1532" s="325"/>
      <c r="Q1532" s="325"/>
      <c r="R1532" s="325">
        <v>1</v>
      </c>
    </row>
    <row r="1533" spans="1:18" ht="36">
      <c r="A1533" s="321">
        <v>64.5</v>
      </c>
      <c r="B1533" s="314" t="s">
        <v>2679</v>
      </c>
      <c r="C1533" s="322" t="s">
        <v>2680</v>
      </c>
      <c r="D1533" s="323">
        <v>13.69</v>
      </c>
      <c r="E1533" s="323">
        <v>13.69</v>
      </c>
      <c r="F1533" s="323"/>
      <c r="G1533" s="323"/>
      <c r="H1533" s="324">
        <v>178.64</v>
      </c>
      <c r="I1533" s="324">
        <v>178.64</v>
      </c>
      <c r="J1533" s="324"/>
      <c r="K1533" s="324"/>
      <c r="L1533" s="357">
        <v>13.048940832724616</v>
      </c>
      <c r="M1533" s="357">
        <v>13.05</v>
      </c>
      <c r="N1533" s="357" t="s">
        <v>135</v>
      </c>
      <c r="O1533" s="357" t="s">
        <v>135</v>
      </c>
      <c r="P1533" s="325"/>
      <c r="Q1533" s="325"/>
      <c r="R1533" s="325">
        <v>1</v>
      </c>
    </row>
    <row r="1534" spans="1:18" ht="36">
      <c r="A1534" s="321">
        <v>64.599999999999994</v>
      </c>
      <c r="B1534" s="314" t="s">
        <v>2681</v>
      </c>
      <c r="C1534" s="322" t="s">
        <v>2682</v>
      </c>
      <c r="D1534" s="323">
        <v>19.649999999999999</v>
      </c>
      <c r="E1534" s="323">
        <v>19.649999999999999</v>
      </c>
      <c r="F1534" s="323"/>
      <c r="G1534" s="323"/>
      <c r="H1534" s="324">
        <v>256.38</v>
      </c>
      <c r="I1534" s="324">
        <v>256.38</v>
      </c>
      <c r="J1534" s="324"/>
      <c r="K1534" s="324"/>
      <c r="L1534" s="357">
        <v>13.04732824427481</v>
      </c>
      <c r="M1534" s="357">
        <v>13.05</v>
      </c>
      <c r="N1534" s="357" t="s">
        <v>135</v>
      </c>
      <c r="O1534" s="357" t="s">
        <v>135</v>
      </c>
      <c r="P1534" s="325"/>
      <c r="Q1534" s="325"/>
      <c r="R1534" s="325">
        <v>1</v>
      </c>
    </row>
    <row r="1535" spans="1:18" ht="24">
      <c r="A1535" s="326">
        <v>64.7</v>
      </c>
      <c r="B1535" s="327" t="s">
        <v>2683</v>
      </c>
      <c r="C1535" s="328" t="s">
        <v>2684</v>
      </c>
      <c r="D1535" s="329">
        <v>19.25</v>
      </c>
      <c r="E1535" s="329">
        <v>18.52</v>
      </c>
      <c r="F1535" s="329">
        <v>0.73</v>
      </c>
      <c r="G1535" s="329"/>
      <c r="H1535" s="330">
        <v>247.18</v>
      </c>
      <c r="I1535" s="330">
        <v>241.62</v>
      </c>
      <c r="J1535" s="330">
        <v>5.56</v>
      </c>
      <c r="K1535" s="330"/>
      <c r="L1535" s="356">
        <v>12.840519480519481</v>
      </c>
      <c r="M1535" s="356">
        <v>13.05</v>
      </c>
      <c r="N1535" s="356">
        <v>7.6164383561643829</v>
      </c>
      <c r="O1535" s="356" t="s">
        <v>135</v>
      </c>
      <c r="P1535" s="331"/>
      <c r="Q1535" s="331"/>
      <c r="R1535" s="331">
        <v>1</v>
      </c>
    </row>
    <row r="1536" spans="1:18" ht="12.75">
      <c r="A1536" s="428" t="s">
        <v>2685</v>
      </c>
      <c r="B1536" s="429"/>
      <c r="C1536" s="429"/>
      <c r="D1536" s="429"/>
      <c r="E1536" s="429"/>
      <c r="F1536" s="429"/>
      <c r="G1536" s="429"/>
      <c r="H1536" s="429"/>
      <c r="I1536" s="429"/>
      <c r="J1536" s="429"/>
      <c r="K1536" s="429"/>
      <c r="L1536" s="429"/>
      <c r="M1536" s="429"/>
      <c r="N1536" s="429"/>
      <c r="O1536" s="429"/>
      <c r="P1536" s="429"/>
      <c r="Q1536" s="429"/>
      <c r="R1536" s="429"/>
    </row>
    <row r="1537" spans="1:18" ht="24">
      <c r="A1537" s="321">
        <v>64.8</v>
      </c>
      <c r="B1537" s="314" t="s">
        <v>2686</v>
      </c>
      <c r="C1537" s="322" t="s">
        <v>2687</v>
      </c>
      <c r="D1537" s="323">
        <v>206.01</v>
      </c>
      <c r="E1537" s="323">
        <v>43.58</v>
      </c>
      <c r="F1537" s="323">
        <v>4.3899999999999997</v>
      </c>
      <c r="G1537" s="323">
        <v>158.04</v>
      </c>
      <c r="H1537" s="324">
        <v>1790.44</v>
      </c>
      <c r="I1537" s="324">
        <v>568.66</v>
      </c>
      <c r="J1537" s="324">
        <v>33.35</v>
      </c>
      <c r="K1537" s="324">
        <v>1188.43</v>
      </c>
      <c r="L1537" s="357">
        <v>8.6910344158050581</v>
      </c>
      <c r="M1537" s="357">
        <v>13.05</v>
      </c>
      <c r="N1537" s="357">
        <v>7.596810933940775</v>
      </c>
      <c r="O1537" s="357">
        <v>7.5198051126297152</v>
      </c>
      <c r="P1537" s="325"/>
      <c r="Q1537" s="325"/>
      <c r="R1537" s="325">
        <v>2</v>
      </c>
    </row>
    <row r="1538" spans="1:18" ht="24">
      <c r="A1538" s="321">
        <v>64.900000000000006</v>
      </c>
      <c r="B1538" s="314" t="s">
        <v>2688</v>
      </c>
      <c r="C1538" s="322" t="s">
        <v>2689</v>
      </c>
      <c r="D1538" s="323">
        <v>153.02000000000001</v>
      </c>
      <c r="E1538" s="323">
        <v>27.17</v>
      </c>
      <c r="F1538" s="323">
        <v>1.1000000000000001</v>
      </c>
      <c r="G1538" s="323">
        <v>124.75</v>
      </c>
      <c r="H1538" s="324">
        <v>1520.03</v>
      </c>
      <c r="I1538" s="324">
        <v>354.56</v>
      </c>
      <c r="J1538" s="324">
        <v>8.34</v>
      </c>
      <c r="K1538" s="324">
        <v>1157.1300000000001</v>
      </c>
      <c r="L1538" s="357">
        <v>9.9335380995948235</v>
      </c>
      <c r="M1538" s="357">
        <v>13.05</v>
      </c>
      <c r="N1538" s="357">
        <v>7.5818181818181811</v>
      </c>
      <c r="O1538" s="357">
        <v>9.2755911823647299</v>
      </c>
      <c r="P1538" s="325"/>
      <c r="Q1538" s="325"/>
      <c r="R1538" s="325">
        <v>2</v>
      </c>
    </row>
    <row r="1539" spans="1:18" ht="24">
      <c r="A1539" s="321">
        <v>64.099999999999994</v>
      </c>
      <c r="B1539" s="314" t="s">
        <v>2690</v>
      </c>
      <c r="C1539" s="322" t="s">
        <v>2691</v>
      </c>
      <c r="D1539" s="323">
        <v>3.16</v>
      </c>
      <c r="E1539" s="323">
        <v>3.16</v>
      </c>
      <c r="F1539" s="323"/>
      <c r="G1539" s="323"/>
      <c r="H1539" s="324">
        <v>41.22</v>
      </c>
      <c r="I1539" s="324">
        <v>41.22</v>
      </c>
      <c r="J1539" s="324"/>
      <c r="K1539" s="324"/>
      <c r="L1539" s="357">
        <v>13.044303797468354</v>
      </c>
      <c r="M1539" s="357">
        <v>13.05</v>
      </c>
      <c r="N1539" s="357" t="s">
        <v>135</v>
      </c>
      <c r="O1539" s="357" t="s">
        <v>135</v>
      </c>
      <c r="P1539" s="325"/>
      <c r="Q1539" s="325"/>
      <c r="R1539" s="325">
        <v>2</v>
      </c>
    </row>
    <row r="1540" spans="1:18" ht="24">
      <c r="A1540" s="321">
        <v>64.11</v>
      </c>
      <c r="B1540" s="314" t="s">
        <v>2692</v>
      </c>
      <c r="C1540" s="322" t="s">
        <v>2693</v>
      </c>
      <c r="D1540" s="323">
        <v>12.84</v>
      </c>
      <c r="E1540" s="323">
        <v>12.84</v>
      </c>
      <c r="F1540" s="323"/>
      <c r="G1540" s="323"/>
      <c r="H1540" s="324">
        <v>167.55</v>
      </c>
      <c r="I1540" s="324">
        <v>167.55</v>
      </c>
      <c r="J1540" s="324"/>
      <c r="K1540" s="324"/>
      <c r="L1540" s="357">
        <v>13.049065420560749</v>
      </c>
      <c r="M1540" s="357">
        <v>13.05</v>
      </c>
      <c r="N1540" s="357" t="s">
        <v>135</v>
      </c>
      <c r="O1540" s="357" t="s">
        <v>135</v>
      </c>
      <c r="P1540" s="325"/>
      <c r="Q1540" s="325"/>
      <c r="R1540" s="325">
        <v>2</v>
      </c>
    </row>
    <row r="1541" spans="1:18" ht="36">
      <c r="A1541" s="321">
        <v>64.12</v>
      </c>
      <c r="B1541" s="314" t="s">
        <v>2694</v>
      </c>
      <c r="C1541" s="322" t="s">
        <v>2695</v>
      </c>
      <c r="D1541" s="323">
        <v>23.09</v>
      </c>
      <c r="E1541" s="323">
        <v>23.09</v>
      </c>
      <c r="F1541" s="323"/>
      <c r="G1541" s="323"/>
      <c r="H1541" s="324">
        <v>301.38</v>
      </c>
      <c r="I1541" s="324">
        <v>301.38</v>
      </c>
      <c r="J1541" s="324"/>
      <c r="K1541" s="324"/>
      <c r="L1541" s="357">
        <v>13.052403637938502</v>
      </c>
      <c r="M1541" s="357">
        <v>13.05</v>
      </c>
      <c r="N1541" s="357" t="s">
        <v>135</v>
      </c>
      <c r="O1541" s="357" t="s">
        <v>135</v>
      </c>
      <c r="P1541" s="325"/>
      <c r="Q1541" s="325"/>
      <c r="R1541" s="325">
        <v>2</v>
      </c>
    </row>
    <row r="1542" spans="1:18" ht="36">
      <c r="A1542" s="321">
        <v>64.13</v>
      </c>
      <c r="B1542" s="314" t="s">
        <v>2696</v>
      </c>
      <c r="C1542" s="322" t="s">
        <v>2697</v>
      </c>
      <c r="D1542" s="323">
        <v>32.92</v>
      </c>
      <c r="E1542" s="323">
        <v>32.92</v>
      </c>
      <c r="F1542" s="323"/>
      <c r="G1542" s="323"/>
      <c r="H1542" s="324">
        <v>429.57</v>
      </c>
      <c r="I1542" s="324">
        <v>429.57</v>
      </c>
      <c r="J1542" s="324"/>
      <c r="K1542" s="324"/>
      <c r="L1542" s="357">
        <v>13.048906439854191</v>
      </c>
      <c r="M1542" s="357">
        <v>13.05</v>
      </c>
      <c r="N1542" s="357" t="s">
        <v>135</v>
      </c>
      <c r="O1542" s="357" t="s">
        <v>135</v>
      </c>
      <c r="P1542" s="325"/>
      <c r="Q1542" s="325"/>
      <c r="R1542" s="325">
        <v>2</v>
      </c>
    </row>
    <row r="1543" spans="1:18" ht="24">
      <c r="A1543" s="326">
        <v>64.14</v>
      </c>
      <c r="B1543" s="327" t="s">
        <v>2698</v>
      </c>
      <c r="C1543" s="328" t="s">
        <v>2699</v>
      </c>
      <c r="D1543" s="329">
        <v>30.14</v>
      </c>
      <c r="E1543" s="329">
        <v>29.41</v>
      </c>
      <c r="F1543" s="329">
        <v>0.73</v>
      </c>
      <c r="G1543" s="329"/>
      <c r="H1543" s="330">
        <v>389.39</v>
      </c>
      <c r="I1543" s="330">
        <v>383.83</v>
      </c>
      <c r="J1543" s="330">
        <v>5.56</v>
      </c>
      <c r="K1543" s="330"/>
      <c r="L1543" s="356">
        <v>12.919376244193762</v>
      </c>
      <c r="M1543" s="356">
        <v>13.05</v>
      </c>
      <c r="N1543" s="356">
        <v>7.6164383561643829</v>
      </c>
      <c r="O1543" s="356" t="s">
        <v>135</v>
      </c>
      <c r="P1543" s="331"/>
      <c r="Q1543" s="331"/>
      <c r="R1543" s="331">
        <v>2</v>
      </c>
    </row>
    <row r="1544" spans="1:18" ht="12.75">
      <c r="A1544" s="428" t="s">
        <v>2700</v>
      </c>
      <c r="B1544" s="429"/>
      <c r="C1544" s="429"/>
      <c r="D1544" s="429"/>
      <c r="E1544" s="429"/>
      <c r="F1544" s="429"/>
      <c r="G1544" s="429"/>
      <c r="H1544" s="429"/>
      <c r="I1544" s="429"/>
      <c r="J1544" s="429"/>
      <c r="K1544" s="429"/>
      <c r="L1544" s="429"/>
      <c r="M1544" s="429"/>
      <c r="N1544" s="429"/>
      <c r="O1544" s="429"/>
      <c r="P1544" s="429"/>
      <c r="Q1544" s="429"/>
      <c r="R1544" s="429"/>
    </row>
    <row r="1545" spans="1:18" ht="24">
      <c r="A1545" s="321">
        <v>64.150000000000006</v>
      </c>
      <c r="B1545" s="314" t="s">
        <v>2701</v>
      </c>
      <c r="C1545" s="322" t="s">
        <v>2702</v>
      </c>
      <c r="D1545" s="323">
        <v>246.01</v>
      </c>
      <c r="E1545" s="323">
        <v>50.79</v>
      </c>
      <c r="F1545" s="323">
        <v>4.3899999999999997</v>
      </c>
      <c r="G1545" s="323">
        <v>190.83</v>
      </c>
      <c r="H1545" s="324">
        <v>2126.6</v>
      </c>
      <c r="I1545" s="324">
        <v>662.76</v>
      </c>
      <c r="J1545" s="324">
        <v>33.35</v>
      </c>
      <c r="K1545" s="324">
        <v>1430.49</v>
      </c>
      <c r="L1545" s="357">
        <v>8.6443640502418599</v>
      </c>
      <c r="M1545" s="357">
        <v>13.05</v>
      </c>
      <c r="N1545" s="357">
        <v>7.596810933940775</v>
      </c>
      <c r="O1545" s="357">
        <v>7.4961484043389399</v>
      </c>
      <c r="P1545" s="325"/>
      <c r="Q1545" s="325"/>
      <c r="R1545" s="325">
        <v>3</v>
      </c>
    </row>
    <row r="1546" spans="1:18" ht="24">
      <c r="A1546" s="321">
        <v>64.16</v>
      </c>
      <c r="B1546" s="314" t="s">
        <v>2703</v>
      </c>
      <c r="C1546" s="322" t="s">
        <v>2704</v>
      </c>
      <c r="D1546" s="323">
        <v>171.53</v>
      </c>
      <c r="E1546" s="323">
        <v>33.340000000000003</v>
      </c>
      <c r="F1546" s="323">
        <v>1.83</v>
      </c>
      <c r="G1546" s="323">
        <v>136.36000000000001</v>
      </c>
      <c r="H1546" s="324">
        <v>1712.25</v>
      </c>
      <c r="I1546" s="324">
        <v>435.02</v>
      </c>
      <c r="J1546" s="324">
        <v>13.9</v>
      </c>
      <c r="K1546" s="324">
        <v>1263.33</v>
      </c>
      <c r="L1546" s="357">
        <v>9.9822188538448078</v>
      </c>
      <c r="M1546" s="357">
        <v>13.05</v>
      </c>
      <c r="N1546" s="357">
        <v>7.5956284153005464</v>
      </c>
      <c r="O1546" s="357">
        <v>9.2646670577882055</v>
      </c>
      <c r="P1546" s="325"/>
      <c r="Q1546" s="325"/>
      <c r="R1546" s="325">
        <v>3</v>
      </c>
    </row>
    <row r="1547" spans="1:18" ht="24">
      <c r="A1547" s="321">
        <v>64.17</v>
      </c>
      <c r="B1547" s="314" t="s">
        <v>2705</v>
      </c>
      <c r="C1547" s="322" t="s">
        <v>2706</v>
      </c>
      <c r="D1547" s="323">
        <v>4.99</v>
      </c>
      <c r="E1547" s="323">
        <v>4.99</v>
      </c>
      <c r="F1547" s="323"/>
      <c r="G1547" s="323"/>
      <c r="H1547" s="324">
        <v>65.16</v>
      </c>
      <c r="I1547" s="324">
        <v>65.16</v>
      </c>
      <c r="J1547" s="324"/>
      <c r="K1547" s="324"/>
      <c r="L1547" s="357">
        <v>13.058116232464929</v>
      </c>
      <c r="M1547" s="357">
        <v>13.05</v>
      </c>
      <c r="N1547" s="357" t="s">
        <v>135</v>
      </c>
      <c r="O1547" s="357" t="s">
        <v>135</v>
      </c>
      <c r="P1547" s="325"/>
      <c r="Q1547" s="325"/>
      <c r="R1547" s="325">
        <v>3</v>
      </c>
    </row>
    <row r="1548" spans="1:18" ht="24">
      <c r="A1548" s="321">
        <v>64.180000000000007</v>
      </c>
      <c r="B1548" s="314" t="s">
        <v>2707</v>
      </c>
      <c r="C1548" s="322" t="s">
        <v>2708</v>
      </c>
      <c r="D1548" s="323">
        <v>20.28</v>
      </c>
      <c r="E1548" s="323">
        <v>20.28</v>
      </c>
      <c r="F1548" s="323"/>
      <c r="G1548" s="323"/>
      <c r="H1548" s="324">
        <v>264.63</v>
      </c>
      <c r="I1548" s="324">
        <v>264.63</v>
      </c>
      <c r="J1548" s="324"/>
      <c r="K1548" s="324"/>
      <c r="L1548" s="357">
        <v>13.048816568047336</v>
      </c>
      <c r="M1548" s="357">
        <v>13.05</v>
      </c>
      <c r="N1548" s="357" t="s">
        <v>135</v>
      </c>
      <c r="O1548" s="357" t="s">
        <v>135</v>
      </c>
      <c r="P1548" s="325"/>
      <c r="Q1548" s="325"/>
      <c r="R1548" s="325">
        <v>3</v>
      </c>
    </row>
    <row r="1549" spans="1:18" ht="36">
      <c r="A1549" s="321">
        <v>64.19</v>
      </c>
      <c r="B1549" s="314" t="s">
        <v>2709</v>
      </c>
      <c r="C1549" s="322" t="s">
        <v>2710</v>
      </c>
      <c r="D1549" s="323">
        <v>36.78</v>
      </c>
      <c r="E1549" s="323">
        <v>36.78</v>
      </c>
      <c r="F1549" s="323"/>
      <c r="G1549" s="323"/>
      <c r="H1549" s="324">
        <v>480.02</v>
      </c>
      <c r="I1549" s="324">
        <v>480.02</v>
      </c>
      <c r="J1549" s="324"/>
      <c r="K1549" s="324"/>
      <c r="L1549" s="357">
        <v>13.05111473626971</v>
      </c>
      <c r="M1549" s="357">
        <v>13.05</v>
      </c>
      <c r="N1549" s="357" t="s">
        <v>135</v>
      </c>
      <c r="O1549" s="357" t="s">
        <v>135</v>
      </c>
      <c r="P1549" s="325"/>
      <c r="Q1549" s="325"/>
      <c r="R1549" s="325">
        <v>3</v>
      </c>
    </row>
    <row r="1550" spans="1:18" ht="36">
      <c r="A1550" s="321">
        <v>64.2</v>
      </c>
      <c r="B1550" s="314" t="s">
        <v>2711</v>
      </c>
      <c r="C1550" s="322" t="s">
        <v>2712</v>
      </c>
      <c r="D1550" s="323">
        <v>52.25</v>
      </c>
      <c r="E1550" s="323">
        <v>52.25</v>
      </c>
      <c r="F1550" s="323"/>
      <c r="G1550" s="323"/>
      <c r="H1550" s="324">
        <v>681.85</v>
      </c>
      <c r="I1550" s="324">
        <v>681.85</v>
      </c>
      <c r="J1550" s="324"/>
      <c r="K1550" s="324"/>
      <c r="L1550" s="357">
        <v>13.049760765550239</v>
      </c>
      <c r="M1550" s="357">
        <v>13.05</v>
      </c>
      <c r="N1550" s="357" t="s">
        <v>135</v>
      </c>
      <c r="O1550" s="357" t="s">
        <v>135</v>
      </c>
      <c r="P1550" s="325"/>
      <c r="Q1550" s="325"/>
      <c r="R1550" s="325">
        <v>3</v>
      </c>
    </row>
    <row r="1551" spans="1:18" ht="24">
      <c r="A1551" s="326">
        <v>64.209999999999994</v>
      </c>
      <c r="B1551" s="327" t="s">
        <v>2713</v>
      </c>
      <c r="C1551" s="328" t="s">
        <v>2714</v>
      </c>
      <c r="D1551" s="329">
        <v>46.49</v>
      </c>
      <c r="E1551" s="329">
        <v>45.39</v>
      </c>
      <c r="F1551" s="329">
        <v>1.1000000000000001</v>
      </c>
      <c r="G1551" s="329"/>
      <c r="H1551" s="330">
        <v>600.66</v>
      </c>
      <c r="I1551" s="330">
        <v>592.32000000000005</v>
      </c>
      <c r="J1551" s="330">
        <v>8.34</v>
      </c>
      <c r="K1551" s="330"/>
      <c r="L1551" s="356">
        <v>12.920197892019788</v>
      </c>
      <c r="M1551" s="356">
        <v>13.05</v>
      </c>
      <c r="N1551" s="356">
        <v>7.5818181818181811</v>
      </c>
      <c r="O1551" s="356" t="s">
        <v>135</v>
      </c>
      <c r="P1551" s="331"/>
      <c r="Q1551" s="331"/>
      <c r="R1551" s="331">
        <v>3</v>
      </c>
    </row>
    <row r="1552" spans="1:18" ht="12.75">
      <c r="A1552" s="428" t="s">
        <v>2715</v>
      </c>
      <c r="B1552" s="429"/>
      <c r="C1552" s="429"/>
      <c r="D1552" s="429"/>
      <c r="E1552" s="429"/>
      <c r="F1552" s="429"/>
      <c r="G1552" s="429"/>
      <c r="H1552" s="429"/>
      <c r="I1552" s="429"/>
      <c r="J1552" s="429"/>
      <c r="K1552" s="429"/>
      <c r="L1552" s="429"/>
      <c r="M1552" s="429"/>
      <c r="N1552" s="429"/>
      <c r="O1552" s="429"/>
      <c r="P1552" s="429"/>
      <c r="Q1552" s="429"/>
      <c r="R1552" s="429"/>
    </row>
    <row r="1553" spans="1:18" ht="24">
      <c r="A1553" s="321">
        <v>64.22</v>
      </c>
      <c r="B1553" s="314" t="s">
        <v>2716</v>
      </c>
      <c r="C1553" s="322" t="s">
        <v>2717</v>
      </c>
      <c r="D1553" s="323">
        <v>125.92</v>
      </c>
      <c r="E1553" s="323">
        <v>15.88</v>
      </c>
      <c r="F1553" s="323">
        <v>1.1000000000000001</v>
      </c>
      <c r="G1553" s="323">
        <v>108.94</v>
      </c>
      <c r="H1553" s="324">
        <v>1030.75</v>
      </c>
      <c r="I1553" s="324">
        <v>207.28</v>
      </c>
      <c r="J1553" s="324">
        <v>8.34</v>
      </c>
      <c r="K1553" s="324">
        <v>815.13</v>
      </c>
      <c r="L1553" s="357">
        <v>8.1857528589580681</v>
      </c>
      <c r="M1553" s="357">
        <v>13.05</v>
      </c>
      <c r="N1553" s="357">
        <v>7.5818181818181811</v>
      </c>
      <c r="O1553" s="357">
        <v>7.4823756196071232</v>
      </c>
      <c r="P1553" s="325"/>
      <c r="Q1553" s="325"/>
      <c r="R1553" s="325">
        <v>4</v>
      </c>
    </row>
    <row r="1554" spans="1:18" ht="24">
      <c r="A1554" s="321">
        <v>64.23</v>
      </c>
      <c r="B1554" s="314" t="s">
        <v>2718</v>
      </c>
      <c r="C1554" s="322" t="s">
        <v>2719</v>
      </c>
      <c r="D1554" s="323">
        <v>89.06</v>
      </c>
      <c r="E1554" s="323">
        <v>9.51</v>
      </c>
      <c r="F1554" s="323">
        <v>0.37</v>
      </c>
      <c r="G1554" s="323">
        <v>79.180000000000007</v>
      </c>
      <c r="H1554" s="324">
        <v>860.13</v>
      </c>
      <c r="I1554" s="324">
        <v>124.1</v>
      </c>
      <c r="J1554" s="324">
        <v>2.78</v>
      </c>
      <c r="K1554" s="324">
        <v>733.25</v>
      </c>
      <c r="L1554" s="357">
        <v>9.6578710981360878</v>
      </c>
      <c r="M1554" s="357">
        <v>13.05</v>
      </c>
      <c r="N1554" s="357">
        <v>7.5135135135135132</v>
      </c>
      <c r="O1554" s="357">
        <v>9.2605455923212929</v>
      </c>
      <c r="P1554" s="325"/>
      <c r="Q1554" s="325"/>
      <c r="R1554" s="325">
        <v>4</v>
      </c>
    </row>
    <row r="1555" spans="1:18" ht="24">
      <c r="A1555" s="321">
        <v>64.239999999999995</v>
      </c>
      <c r="B1555" s="314" t="s">
        <v>2720</v>
      </c>
      <c r="C1555" s="322" t="s">
        <v>2721</v>
      </c>
      <c r="D1555" s="323">
        <v>0.92</v>
      </c>
      <c r="E1555" s="323">
        <v>0.92</v>
      </c>
      <c r="F1555" s="323"/>
      <c r="G1555" s="323"/>
      <c r="H1555" s="324">
        <v>11.97</v>
      </c>
      <c r="I1555" s="324">
        <v>11.97</v>
      </c>
      <c r="J1555" s="324"/>
      <c r="K1555" s="324"/>
      <c r="L1555" s="357">
        <v>13.010869565217391</v>
      </c>
      <c r="M1555" s="357">
        <v>13.05</v>
      </c>
      <c r="N1555" s="357" t="s">
        <v>135</v>
      </c>
      <c r="O1555" s="357" t="s">
        <v>135</v>
      </c>
      <c r="P1555" s="325"/>
      <c r="Q1555" s="325"/>
      <c r="R1555" s="325">
        <v>4</v>
      </c>
    </row>
    <row r="1556" spans="1:18" ht="24">
      <c r="A1556" s="321">
        <v>64.25</v>
      </c>
      <c r="B1556" s="314" t="s">
        <v>2722</v>
      </c>
      <c r="C1556" s="322" t="s">
        <v>2723</v>
      </c>
      <c r="D1556" s="323">
        <v>3.87</v>
      </c>
      <c r="E1556" s="323">
        <v>3.87</v>
      </c>
      <c r="F1556" s="323"/>
      <c r="G1556" s="323"/>
      <c r="H1556" s="324">
        <v>50.53</v>
      </c>
      <c r="I1556" s="324">
        <v>50.53</v>
      </c>
      <c r="J1556" s="324"/>
      <c r="K1556" s="324"/>
      <c r="L1556" s="357">
        <v>13.056847545219638</v>
      </c>
      <c r="M1556" s="357">
        <v>13.05</v>
      </c>
      <c r="N1556" s="357" t="s">
        <v>135</v>
      </c>
      <c r="O1556" s="357" t="s">
        <v>135</v>
      </c>
      <c r="P1556" s="325"/>
      <c r="Q1556" s="325"/>
      <c r="R1556" s="325">
        <v>4</v>
      </c>
    </row>
    <row r="1557" spans="1:18" ht="36">
      <c r="A1557" s="321">
        <v>64.260000000000005</v>
      </c>
      <c r="B1557" s="314" t="s">
        <v>2724</v>
      </c>
      <c r="C1557" s="322" t="s">
        <v>2725</v>
      </c>
      <c r="D1557" s="323">
        <v>6.9</v>
      </c>
      <c r="E1557" s="323">
        <v>6.9</v>
      </c>
      <c r="F1557" s="323"/>
      <c r="G1557" s="323"/>
      <c r="H1557" s="324">
        <v>90</v>
      </c>
      <c r="I1557" s="324">
        <v>90</v>
      </c>
      <c r="J1557" s="324"/>
      <c r="K1557" s="324"/>
      <c r="L1557" s="357">
        <v>13.043478260869565</v>
      </c>
      <c r="M1557" s="357">
        <v>13.05</v>
      </c>
      <c r="N1557" s="357" t="s">
        <v>135</v>
      </c>
      <c r="O1557" s="357" t="s">
        <v>135</v>
      </c>
      <c r="P1557" s="325"/>
      <c r="Q1557" s="325"/>
      <c r="R1557" s="325">
        <v>4</v>
      </c>
    </row>
    <row r="1558" spans="1:18" ht="36">
      <c r="A1558" s="321">
        <v>64.27</v>
      </c>
      <c r="B1558" s="314" t="s">
        <v>2726</v>
      </c>
      <c r="C1558" s="322" t="s">
        <v>2727</v>
      </c>
      <c r="D1558" s="323">
        <v>9.82</v>
      </c>
      <c r="E1558" s="323">
        <v>9.82</v>
      </c>
      <c r="F1558" s="323"/>
      <c r="G1558" s="323"/>
      <c r="H1558" s="324">
        <v>128.19</v>
      </c>
      <c r="I1558" s="324">
        <v>128.19</v>
      </c>
      <c r="J1558" s="324"/>
      <c r="K1558" s="324"/>
      <c r="L1558" s="357">
        <v>13.053971486761711</v>
      </c>
      <c r="M1558" s="357">
        <v>13.05</v>
      </c>
      <c r="N1558" s="357" t="s">
        <v>135</v>
      </c>
      <c r="O1558" s="357" t="s">
        <v>135</v>
      </c>
      <c r="P1558" s="325"/>
      <c r="Q1558" s="325"/>
      <c r="R1558" s="325">
        <v>4</v>
      </c>
    </row>
    <row r="1559" spans="1:18" ht="24">
      <c r="A1559" s="326">
        <v>64.28</v>
      </c>
      <c r="B1559" s="327" t="s">
        <v>2728</v>
      </c>
      <c r="C1559" s="328" t="s">
        <v>2729</v>
      </c>
      <c r="D1559" s="329">
        <v>9.57</v>
      </c>
      <c r="E1559" s="329">
        <v>9.1999999999999993</v>
      </c>
      <c r="F1559" s="329">
        <v>0.37</v>
      </c>
      <c r="G1559" s="329"/>
      <c r="H1559" s="330">
        <v>122.9</v>
      </c>
      <c r="I1559" s="330">
        <v>120.12</v>
      </c>
      <c r="J1559" s="330">
        <v>2.78</v>
      </c>
      <c r="K1559" s="330"/>
      <c r="L1559" s="356">
        <v>12.842215256008359</v>
      </c>
      <c r="M1559" s="356">
        <v>13.05</v>
      </c>
      <c r="N1559" s="356">
        <v>7.5135135135135132</v>
      </c>
      <c r="O1559" s="356" t="s">
        <v>135</v>
      </c>
      <c r="P1559" s="331"/>
      <c r="Q1559" s="331"/>
      <c r="R1559" s="331">
        <v>4</v>
      </c>
    </row>
    <row r="1560" spans="1:18" ht="12.75">
      <c r="A1560" s="428" t="s">
        <v>2730</v>
      </c>
      <c r="B1560" s="429"/>
      <c r="C1560" s="429"/>
      <c r="D1560" s="429"/>
      <c r="E1560" s="429"/>
      <c r="F1560" s="429"/>
      <c r="G1560" s="429"/>
      <c r="H1560" s="429"/>
      <c r="I1560" s="429"/>
      <c r="J1560" s="429"/>
      <c r="K1560" s="429"/>
      <c r="L1560" s="429"/>
      <c r="M1560" s="429"/>
      <c r="N1560" s="429"/>
      <c r="O1560" s="429"/>
      <c r="P1560" s="429"/>
      <c r="Q1560" s="429"/>
      <c r="R1560" s="429"/>
    </row>
    <row r="1561" spans="1:18" ht="24">
      <c r="A1561" s="321">
        <v>64.290000000000006</v>
      </c>
      <c r="B1561" s="314" t="s">
        <v>2731</v>
      </c>
      <c r="C1561" s="322" t="s">
        <v>2732</v>
      </c>
      <c r="D1561" s="323">
        <v>182.29</v>
      </c>
      <c r="E1561" s="323">
        <v>22.05</v>
      </c>
      <c r="F1561" s="323">
        <v>2.2000000000000002</v>
      </c>
      <c r="G1561" s="323">
        <v>158.04</v>
      </c>
      <c r="H1561" s="324">
        <v>1493.95</v>
      </c>
      <c r="I1561" s="324">
        <v>287.74</v>
      </c>
      <c r="J1561" s="324">
        <v>16.670000000000002</v>
      </c>
      <c r="K1561" s="324">
        <v>1189.54</v>
      </c>
      <c r="L1561" s="357">
        <v>8.1954577870426242</v>
      </c>
      <c r="M1561" s="357">
        <v>13.05</v>
      </c>
      <c r="N1561" s="357">
        <v>7.5772727272727272</v>
      </c>
      <c r="O1561" s="357">
        <v>7.5268286509744371</v>
      </c>
      <c r="P1561" s="325"/>
      <c r="Q1561" s="325"/>
      <c r="R1561" s="325">
        <v>5</v>
      </c>
    </row>
    <row r="1562" spans="1:18" ht="24">
      <c r="A1562" s="321">
        <v>64.3</v>
      </c>
      <c r="B1562" s="314" t="s">
        <v>2733</v>
      </c>
      <c r="C1562" s="322" t="s">
        <v>2734</v>
      </c>
      <c r="D1562" s="323">
        <v>139.15</v>
      </c>
      <c r="E1562" s="323">
        <v>13.69</v>
      </c>
      <c r="F1562" s="323">
        <v>0.73</v>
      </c>
      <c r="G1562" s="323">
        <v>124.73</v>
      </c>
      <c r="H1562" s="324">
        <v>1342.45</v>
      </c>
      <c r="I1562" s="324">
        <v>178.64</v>
      </c>
      <c r="J1562" s="324">
        <v>5.56</v>
      </c>
      <c r="K1562" s="324">
        <v>1158.25</v>
      </c>
      <c r="L1562" s="357">
        <v>9.6475026949335252</v>
      </c>
      <c r="M1562" s="357">
        <v>13.05</v>
      </c>
      <c r="N1562" s="357">
        <v>7.6164383561643829</v>
      </c>
      <c r="O1562" s="357">
        <v>9.2860578850316688</v>
      </c>
      <c r="P1562" s="325"/>
      <c r="Q1562" s="325"/>
      <c r="R1562" s="325">
        <v>5</v>
      </c>
    </row>
    <row r="1563" spans="1:18" ht="24">
      <c r="A1563" s="321">
        <v>64.31</v>
      </c>
      <c r="B1563" s="314" t="s">
        <v>2735</v>
      </c>
      <c r="C1563" s="322" t="s">
        <v>2736</v>
      </c>
      <c r="D1563" s="323">
        <v>1.63</v>
      </c>
      <c r="E1563" s="323">
        <v>1.63</v>
      </c>
      <c r="F1563" s="323"/>
      <c r="G1563" s="323"/>
      <c r="H1563" s="324">
        <v>21.28</v>
      </c>
      <c r="I1563" s="324">
        <v>21.28</v>
      </c>
      <c r="J1563" s="324"/>
      <c r="K1563" s="324"/>
      <c r="L1563" s="357">
        <v>13.055214723926381</v>
      </c>
      <c r="M1563" s="357">
        <v>13.05</v>
      </c>
      <c r="N1563" s="357" t="s">
        <v>135</v>
      </c>
      <c r="O1563" s="357" t="s">
        <v>135</v>
      </c>
      <c r="P1563" s="325"/>
      <c r="Q1563" s="325"/>
      <c r="R1563" s="325">
        <v>5</v>
      </c>
    </row>
    <row r="1564" spans="1:18" ht="24">
      <c r="A1564" s="321">
        <v>64.319999999999993</v>
      </c>
      <c r="B1564" s="314" t="s">
        <v>2737</v>
      </c>
      <c r="C1564" s="322" t="s">
        <v>2738</v>
      </c>
      <c r="D1564" s="323">
        <v>6.32</v>
      </c>
      <c r="E1564" s="323">
        <v>6.32</v>
      </c>
      <c r="F1564" s="323"/>
      <c r="G1564" s="323"/>
      <c r="H1564" s="324">
        <v>82.45</v>
      </c>
      <c r="I1564" s="324">
        <v>82.45</v>
      </c>
      <c r="J1564" s="324"/>
      <c r="K1564" s="324"/>
      <c r="L1564" s="357">
        <v>13.045886075949367</v>
      </c>
      <c r="M1564" s="357">
        <v>13.05</v>
      </c>
      <c r="N1564" s="357" t="s">
        <v>135</v>
      </c>
      <c r="O1564" s="357" t="s">
        <v>135</v>
      </c>
      <c r="P1564" s="325"/>
      <c r="Q1564" s="325"/>
      <c r="R1564" s="325">
        <v>5</v>
      </c>
    </row>
    <row r="1565" spans="1:18" ht="36">
      <c r="A1565" s="321">
        <v>64.33</v>
      </c>
      <c r="B1565" s="314" t="s">
        <v>2739</v>
      </c>
      <c r="C1565" s="322" t="s">
        <v>2740</v>
      </c>
      <c r="D1565" s="323">
        <v>11.6</v>
      </c>
      <c r="E1565" s="323">
        <v>11.6</v>
      </c>
      <c r="F1565" s="323"/>
      <c r="G1565" s="323"/>
      <c r="H1565" s="324">
        <v>151.37</v>
      </c>
      <c r="I1565" s="324">
        <v>151.37</v>
      </c>
      <c r="J1565" s="324"/>
      <c r="K1565" s="324"/>
      <c r="L1565" s="357">
        <v>13.049137931034483</v>
      </c>
      <c r="M1565" s="357">
        <v>13.05</v>
      </c>
      <c r="N1565" s="357" t="s">
        <v>135</v>
      </c>
      <c r="O1565" s="357" t="s">
        <v>135</v>
      </c>
      <c r="P1565" s="325"/>
      <c r="Q1565" s="325"/>
      <c r="R1565" s="325">
        <v>5</v>
      </c>
    </row>
    <row r="1566" spans="1:18" ht="36">
      <c r="A1566" s="321">
        <v>64.34</v>
      </c>
      <c r="B1566" s="314" t="s">
        <v>2741</v>
      </c>
      <c r="C1566" s="322" t="s">
        <v>2742</v>
      </c>
      <c r="D1566" s="323">
        <v>16.41</v>
      </c>
      <c r="E1566" s="323">
        <v>16.41</v>
      </c>
      <c r="F1566" s="323"/>
      <c r="G1566" s="323"/>
      <c r="H1566" s="324">
        <v>214.1</v>
      </c>
      <c r="I1566" s="324">
        <v>214.1</v>
      </c>
      <c r="J1566" s="324"/>
      <c r="K1566" s="324"/>
      <c r="L1566" s="357">
        <v>13.046922608165753</v>
      </c>
      <c r="M1566" s="357">
        <v>13.05</v>
      </c>
      <c r="N1566" s="357" t="s">
        <v>135</v>
      </c>
      <c r="O1566" s="357" t="s">
        <v>135</v>
      </c>
      <c r="P1566" s="325"/>
      <c r="Q1566" s="325"/>
      <c r="R1566" s="325">
        <v>5</v>
      </c>
    </row>
    <row r="1567" spans="1:18" ht="24">
      <c r="A1567" s="326">
        <v>64.349999999999994</v>
      </c>
      <c r="B1567" s="327" t="s">
        <v>2743</v>
      </c>
      <c r="C1567" s="328" t="s">
        <v>2744</v>
      </c>
      <c r="D1567" s="329">
        <v>14.97</v>
      </c>
      <c r="E1567" s="329">
        <v>14.6</v>
      </c>
      <c r="F1567" s="329">
        <v>0.37</v>
      </c>
      <c r="G1567" s="329"/>
      <c r="H1567" s="330">
        <v>193.32</v>
      </c>
      <c r="I1567" s="330">
        <v>190.54</v>
      </c>
      <c r="J1567" s="330">
        <v>2.78</v>
      </c>
      <c r="K1567" s="330"/>
      <c r="L1567" s="356">
        <v>12.913827655310619</v>
      </c>
      <c r="M1567" s="356">
        <v>13.05</v>
      </c>
      <c r="N1567" s="356">
        <v>7.5135135135135132</v>
      </c>
      <c r="O1567" s="356" t="s">
        <v>135</v>
      </c>
      <c r="P1567" s="331"/>
      <c r="Q1567" s="331"/>
      <c r="R1567" s="331">
        <v>5</v>
      </c>
    </row>
    <row r="1568" spans="1:18" ht="12.75">
      <c r="A1568" s="428" t="s">
        <v>2745</v>
      </c>
      <c r="B1568" s="429"/>
      <c r="C1568" s="429"/>
      <c r="D1568" s="429"/>
      <c r="E1568" s="429"/>
      <c r="F1568" s="429"/>
      <c r="G1568" s="429"/>
      <c r="H1568" s="429"/>
      <c r="I1568" s="429"/>
      <c r="J1568" s="429"/>
      <c r="K1568" s="429"/>
      <c r="L1568" s="429"/>
      <c r="M1568" s="429"/>
      <c r="N1568" s="429"/>
      <c r="O1568" s="429"/>
      <c r="P1568" s="429"/>
      <c r="Q1568" s="429"/>
      <c r="R1568" s="429"/>
    </row>
    <row r="1569" spans="1:18" ht="24">
      <c r="A1569" s="321">
        <v>64.36</v>
      </c>
      <c r="B1569" s="314" t="s">
        <v>2746</v>
      </c>
      <c r="C1569" s="322" t="s">
        <v>2747</v>
      </c>
      <c r="D1569" s="323">
        <v>218.42</v>
      </c>
      <c r="E1569" s="323">
        <v>25.39</v>
      </c>
      <c r="F1569" s="323">
        <v>2.2000000000000002</v>
      </c>
      <c r="G1569" s="323">
        <v>190.83</v>
      </c>
      <c r="H1569" s="324">
        <v>1778.54</v>
      </c>
      <c r="I1569" s="324">
        <v>331.38</v>
      </c>
      <c r="J1569" s="324">
        <v>16.670000000000002</v>
      </c>
      <c r="K1569" s="324">
        <v>1430.49</v>
      </c>
      <c r="L1569" s="357">
        <v>8.1427524951927488</v>
      </c>
      <c r="M1569" s="357">
        <v>13.05</v>
      </c>
      <c r="N1569" s="357">
        <v>7.5772727272727272</v>
      </c>
      <c r="O1569" s="357">
        <v>7.4961484043389399</v>
      </c>
      <c r="P1569" s="325"/>
      <c r="Q1569" s="325"/>
      <c r="R1569" s="325">
        <v>6</v>
      </c>
    </row>
    <row r="1570" spans="1:18" ht="24">
      <c r="A1570" s="321">
        <v>64.37</v>
      </c>
      <c r="B1570" s="314" t="s">
        <v>2748</v>
      </c>
      <c r="C1570" s="322" t="s">
        <v>2749</v>
      </c>
      <c r="D1570" s="323">
        <v>153.72</v>
      </c>
      <c r="E1570" s="323">
        <v>16.62</v>
      </c>
      <c r="F1570" s="323">
        <v>0.73</v>
      </c>
      <c r="G1570" s="323">
        <v>136.37</v>
      </c>
      <c r="H1570" s="324">
        <v>1485.71</v>
      </c>
      <c r="I1570" s="324">
        <v>216.83</v>
      </c>
      <c r="J1570" s="324">
        <v>5.56</v>
      </c>
      <c r="K1570" s="324">
        <v>1263.32</v>
      </c>
      <c r="L1570" s="357">
        <v>9.6650403330731205</v>
      </c>
      <c r="M1570" s="357">
        <v>13.05</v>
      </c>
      <c r="N1570" s="357">
        <v>7.6164383561643829</v>
      </c>
      <c r="O1570" s="357">
        <v>9.2639143506636348</v>
      </c>
      <c r="P1570" s="325"/>
      <c r="Q1570" s="325"/>
      <c r="R1570" s="325">
        <v>6</v>
      </c>
    </row>
    <row r="1571" spans="1:18" ht="24">
      <c r="A1571" s="321">
        <v>64.38</v>
      </c>
      <c r="B1571" s="314" t="s">
        <v>2750</v>
      </c>
      <c r="C1571" s="322" t="s">
        <v>2751</v>
      </c>
      <c r="D1571" s="323">
        <v>2.5499999999999998</v>
      </c>
      <c r="E1571" s="323">
        <v>2.5499999999999998</v>
      </c>
      <c r="F1571" s="323"/>
      <c r="G1571" s="323"/>
      <c r="H1571" s="324">
        <v>33.25</v>
      </c>
      <c r="I1571" s="324">
        <v>33.25</v>
      </c>
      <c r="J1571" s="324"/>
      <c r="K1571" s="324"/>
      <c r="L1571" s="357">
        <v>13.039215686274511</v>
      </c>
      <c r="M1571" s="357">
        <v>13.05</v>
      </c>
      <c r="N1571" s="357" t="s">
        <v>135</v>
      </c>
      <c r="O1571" s="357" t="s">
        <v>135</v>
      </c>
      <c r="P1571" s="325"/>
      <c r="Q1571" s="325"/>
      <c r="R1571" s="325">
        <v>6</v>
      </c>
    </row>
    <row r="1572" spans="1:18" ht="24">
      <c r="A1572" s="321">
        <v>64.39</v>
      </c>
      <c r="B1572" s="314" t="s">
        <v>2752</v>
      </c>
      <c r="C1572" s="322" t="s">
        <v>2753</v>
      </c>
      <c r="D1572" s="323">
        <v>10.09</v>
      </c>
      <c r="E1572" s="323">
        <v>10.09</v>
      </c>
      <c r="F1572" s="323"/>
      <c r="G1572" s="323"/>
      <c r="H1572" s="324">
        <v>131.65</v>
      </c>
      <c r="I1572" s="324">
        <v>131.65</v>
      </c>
      <c r="J1572" s="324"/>
      <c r="K1572" s="324"/>
      <c r="L1572" s="357">
        <v>13.04757185332012</v>
      </c>
      <c r="M1572" s="357">
        <v>13.05</v>
      </c>
      <c r="N1572" s="357" t="s">
        <v>135</v>
      </c>
      <c r="O1572" s="357" t="s">
        <v>135</v>
      </c>
      <c r="P1572" s="325"/>
      <c r="Q1572" s="325"/>
      <c r="R1572" s="325">
        <v>6</v>
      </c>
    </row>
    <row r="1573" spans="1:18" ht="36">
      <c r="A1573" s="321">
        <v>64.400000000000006</v>
      </c>
      <c r="B1573" s="314" t="s">
        <v>2754</v>
      </c>
      <c r="C1573" s="322" t="s">
        <v>2755</v>
      </c>
      <c r="D1573" s="323">
        <v>18.5</v>
      </c>
      <c r="E1573" s="323">
        <v>18.5</v>
      </c>
      <c r="F1573" s="323"/>
      <c r="G1573" s="323"/>
      <c r="H1573" s="324">
        <v>241.37</v>
      </c>
      <c r="I1573" s="324">
        <v>241.37</v>
      </c>
      <c r="J1573" s="324"/>
      <c r="K1573" s="324"/>
      <c r="L1573" s="357">
        <v>13.047027027027028</v>
      </c>
      <c r="M1573" s="357">
        <v>13.05</v>
      </c>
      <c r="N1573" s="357" t="s">
        <v>135</v>
      </c>
      <c r="O1573" s="357" t="s">
        <v>135</v>
      </c>
      <c r="P1573" s="325"/>
      <c r="Q1573" s="325"/>
      <c r="R1573" s="325">
        <v>6</v>
      </c>
    </row>
    <row r="1574" spans="1:18" ht="36">
      <c r="A1574" s="321">
        <v>64.41</v>
      </c>
      <c r="B1574" s="314" t="s">
        <v>2756</v>
      </c>
      <c r="C1574" s="322" t="s">
        <v>2757</v>
      </c>
      <c r="D1574" s="323">
        <v>26.23</v>
      </c>
      <c r="E1574" s="323">
        <v>26.23</v>
      </c>
      <c r="F1574" s="323"/>
      <c r="G1574" s="323"/>
      <c r="H1574" s="324">
        <v>342.29</v>
      </c>
      <c r="I1574" s="324">
        <v>342.29</v>
      </c>
      <c r="J1574" s="324"/>
      <c r="K1574" s="324"/>
      <c r="L1574" s="357">
        <v>13.049561570720549</v>
      </c>
      <c r="M1574" s="357">
        <v>13.05</v>
      </c>
      <c r="N1574" s="357" t="s">
        <v>135</v>
      </c>
      <c r="O1574" s="357" t="s">
        <v>135</v>
      </c>
      <c r="P1574" s="325"/>
      <c r="Q1574" s="325"/>
      <c r="R1574" s="325">
        <v>6</v>
      </c>
    </row>
    <row r="1575" spans="1:18" ht="24">
      <c r="A1575" s="326">
        <v>64.42</v>
      </c>
      <c r="B1575" s="327" t="s">
        <v>2758</v>
      </c>
      <c r="C1575" s="328" t="s">
        <v>2759</v>
      </c>
      <c r="D1575" s="329">
        <v>23.48</v>
      </c>
      <c r="E1575" s="329">
        <v>22.75</v>
      </c>
      <c r="F1575" s="329">
        <v>0.73</v>
      </c>
      <c r="G1575" s="329"/>
      <c r="H1575" s="330">
        <v>302.41000000000003</v>
      </c>
      <c r="I1575" s="330">
        <v>296.85000000000002</v>
      </c>
      <c r="J1575" s="330">
        <v>5.56</v>
      </c>
      <c r="K1575" s="330"/>
      <c r="L1575" s="356">
        <v>12.87947189097104</v>
      </c>
      <c r="M1575" s="356">
        <v>13.05</v>
      </c>
      <c r="N1575" s="356">
        <v>7.6164383561643829</v>
      </c>
      <c r="O1575" s="356" t="s">
        <v>135</v>
      </c>
      <c r="P1575" s="331"/>
      <c r="Q1575" s="331"/>
      <c r="R1575" s="331">
        <v>6</v>
      </c>
    </row>
    <row r="1576" spans="1:18" ht="12.75">
      <c r="A1576" s="428" t="s">
        <v>2760</v>
      </c>
      <c r="B1576" s="429"/>
      <c r="C1576" s="429"/>
      <c r="D1576" s="429"/>
      <c r="E1576" s="429"/>
      <c r="F1576" s="429"/>
      <c r="G1576" s="429"/>
      <c r="H1576" s="429"/>
      <c r="I1576" s="429"/>
      <c r="J1576" s="429"/>
      <c r="K1576" s="429"/>
      <c r="L1576" s="429"/>
      <c r="M1576" s="429"/>
      <c r="N1576" s="429"/>
      <c r="O1576" s="429"/>
      <c r="P1576" s="429"/>
      <c r="Q1576" s="429"/>
      <c r="R1576" s="429"/>
    </row>
    <row r="1577" spans="1:18" ht="36">
      <c r="A1577" s="321">
        <v>64.430000000000007</v>
      </c>
      <c r="B1577" s="314" t="s">
        <v>2761</v>
      </c>
      <c r="C1577" s="322" t="s">
        <v>2762</v>
      </c>
      <c r="D1577" s="323">
        <v>78.86</v>
      </c>
      <c r="E1577" s="323">
        <v>13.96</v>
      </c>
      <c r="F1577" s="323">
        <v>2.56</v>
      </c>
      <c r="G1577" s="323">
        <v>62.34</v>
      </c>
      <c r="H1577" s="324">
        <v>1321.87</v>
      </c>
      <c r="I1577" s="324">
        <v>182.18</v>
      </c>
      <c r="J1577" s="324">
        <v>19.45</v>
      </c>
      <c r="K1577" s="324">
        <v>1120.24</v>
      </c>
      <c r="L1577" s="357">
        <v>16.762236875475526</v>
      </c>
      <c r="M1577" s="357">
        <v>13.05</v>
      </c>
      <c r="N1577" s="357">
        <v>7.59765625</v>
      </c>
      <c r="O1577" s="357">
        <v>17.969842797561757</v>
      </c>
      <c r="P1577" s="325"/>
      <c r="Q1577" s="325"/>
      <c r="R1577" s="325">
        <v>7</v>
      </c>
    </row>
    <row r="1578" spans="1:18" ht="36">
      <c r="A1578" s="321">
        <v>64.44</v>
      </c>
      <c r="B1578" s="314" t="s">
        <v>2763</v>
      </c>
      <c r="C1578" s="322" t="s">
        <v>2764</v>
      </c>
      <c r="D1578" s="323">
        <v>46.79</v>
      </c>
      <c r="E1578" s="323">
        <v>8.66</v>
      </c>
      <c r="F1578" s="323">
        <v>1.1000000000000001</v>
      </c>
      <c r="G1578" s="323">
        <v>37.03</v>
      </c>
      <c r="H1578" s="324">
        <v>787.15</v>
      </c>
      <c r="I1578" s="324">
        <v>113.03</v>
      </c>
      <c r="J1578" s="324">
        <v>8.34</v>
      </c>
      <c r="K1578" s="324">
        <v>665.78</v>
      </c>
      <c r="L1578" s="357">
        <v>16.823039110921137</v>
      </c>
      <c r="M1578" s="357">
        <v>13.05</v>
      </c>
      <c r="N1578" s="357">
        <v>7.5818181818181811</v>
      </c>
      <c r="O1578" s="357">
        <v>17.979476100459085</v>
      </c>
      <c r="P1578" s="325"/>
      <c r="Q1578" s="325"/>
      <c r="R1578" s="325">
        <v>7</v>
      </c>
    </row>
    <row r="1579" spans="1:18" ht="36">
      <c r="A1579" s="321">
        <v>64.45</v>
      </c>
      <c r="B1579" s="314" t="s">
        <v>2765</v>
      </c>
      <c r="C1579" s="322" t="s">
        <v>2766</v>
      </c>
      <c r="D1579" s="323">
        <v>2.82</v>
      </c>
      <c r="E1579" s="323">
        <v>2.82</v>
      </c>
      <c r="F1579" s="323"/>
      <c r="G1579" s="323"/>
      <c r="H1579" s="324">
        <v>36.78</v>
      </c>
      <c r="I1579" s="324">
        <v>36.78</v>
      </c>
      <c r="J1579" s="324"/>
      <c r="K1579" s="324"/>
      <c r="L1579" s="357">
        <v>13.042553191489363</v>
      </c>
      <c r="M1579" s="357">
        <v>13.05</v>
      </c>
      <c r="N1579" s="357" t="s">
        <v>135</v>
      </c>
      <c r="O1579" s="357" t="s">
        <v>135</v>
      </c>
      <c r="P1579" s="325"/>
      <c r="Q1579" s="325"/>
      <c r="R1579" s="325">
        <v>7</v>
      </c>
    </row>
    <row r="1580" spans="1:18" ht="36">
      <c r="A1580" s="321">
        <v>64.459999999999994</v>
      </c>
      <c r="B1580" s="314" t="s">
        <v>2767</v>
      </c>
      <c r="C1580" s="322" t="s">
        <v>2768</v>
      </c>
      <c r="D1580" s="323">
        <v>10.95</v>
      </c>
      <c r="E1580" s="323">
        <v>10.95</v>
      </c>
      <c r="F1580" s="323"/>
      <c r="G1580" s="323"/>
      <c r="H1580" s="324">
        <v>142.87</v>
      </c>
      <c r="I1580" s="324">
        <v>142.87</v>
      </c>
      <c r="J1580" s="324"/>
      <c r="K1580" s="324"/>
      <c r="L1580" s="357">
        <v>13.047488584474888</v>
      </c>
      <c r="M1580" s="357">
        <v>13.05</v>
      </c>
      <c r="N1580" s="357" t="s">
        <v>135</v>
      </c>
      <c r="O1580" s="357" t="s">
        <v>135</v>
      </c>
      <c r="P1580" s="325"/>
      <c r="Q1580" s="325"/>
      <c r="R1580" s="325">
        <v>7</v>
      </c>
    </row>
    <row r="1581" spans="1:18" ht="48">
      <c r="A1581" s="321">
        <v>64.47</v>
      </c>
      <c r="B1581" s="314" t="s">
        <v>2769</v>
      </c>
      <c r="C1581" s="322" t="s">
        <v>2770</v>
      </c>
      <c r="D1581" s="323">
        <v>19.97</v>
      </c>
      <c r="E1581" s="323">
        <v>19.97</v>
      </c>
      <c r="F1581" s="323"/>
      <c r="G1581" s="323"/>
      <c r="H1581" s="324">
        <v>260.55</v>
      </c>
      <c r="I1581" s="324">
        <v>260.55</v>
      </c>
      <c r="J1581" s="324"/>
      <c r="K1581" s="324"/>
      <c r="L1581" s="357">
        <v>13.047070605908864</v>
      </c>
      <c r="M1581" s="357">
        <v>13.05</v>
      </c>
      <c r="N1581" s="357" t="s">
        <v>135</v>
      </c>
      <c r="O1581" s="357" t="s">
        <v>135</v>
      </c>
      <c r="P1581" s="325"/>
      <c r="Q1581" s="325"/>
      <c r="R1581" s="325">
        <v>7</v>
      </c>
    </row>
    <row r="1582" spans="1:18" ht="48">
      <c r="A1582" s="321">
        <v>64.48</v>
      </c>
      <c r="B1582" s="314" t="s">
        <v>2771</v>
      </c>
      <c r="C1582" s="322" t="s">
        <v>2772</v>
      </c>
      <c r="D1582" s="323">
        <v>28.19</v>
      </c>
      <c r="E1582" s="323">
        <v>28.19</v>
      </c>
      <c r="F1582" s="323"/>
      <c r="G1582" s="323"/>
      <c r="H1582" s="324">
        <v>367.92</v>
      </c>
      <c r="I1582" s="324">
        <v>367.92</v>
      </c>
      <c r="J1582" s="324"/>
      <c r="K1582" s="324"/>
      <c r="L1582" s="357">
        <v>13.051436679673643</v>
      </c>
      <c r="M1582" s="357">
        <v>13.05</v>
      </c>
      <c r="N1582" s="357" t="s">
        <v>135</v>
      </c>
      <c r="O1582" s="357" t="s">
        <v>135</v>
      </c>
      <c r="P1582" s="325"/>
      <c r="Q1582" s="325"/>
      <c r="R1582" s="325">
        <v>7</v>
      </c>
    </row>
    <row r="1583" spans="1:18" ht="36">
      <c r="A1583" s="326">
        <v>64.489999999999995</v>
      </c>
      <c r="B1583" s="327" t="s">
        <v>2773</v>
      </c>
      <c r="C1583" s="328" t="s">
        <v>2774</v>
      </c>
      <c r="D1583" s="329">
        <v>23.11</v>
      </c>
      <c r="E1583" s="329">
        <v>22.38</v>
      </c>
      <c r="F1583" s="329">
        <v>0.73</v>
      </c>
      <c r="G1583" s="329"/>
      <c r="H1583" s="330">
        <v>297.68</v>
      </c>
      <c r="I1583" s="330">
        <v>292.12</v>
      </c>
      <c r="J1583" s="330">
        <v>5.56</v>
      </c>
      <c r="K1583" s="330"/>
      <c r="L1583" s="356">
        <v>12.881003894418001</v>
      </c>
      <c r="M1583" s="356">
        <v>13.05</v>
      </c>
      <c r="N1583" s="356">
        <v>7.6164383561643829</v>
      </c>
      <c r="O1583" s="356" t="s">
        <v>135</v>
      </c>
      <c r="P1583" s="331"/>
      <c r="Q1583" s="331"/>
      <c r="R1583" s="331">
        <v>7</v>
      </c>
    </row>
    <row r="1584" spans="1:18" ht="12.75">
      <c r="A1584" s="428" t="s">
        <v>2775</v>
      </c>
      <c r="B1584" s="429"/>
      <c r="C1584" s="429"/>
      <c r="D1584" s="429"/>
      <c r="E1584" s="429"/>
      <c r="F1584" s="429"/>
      <c r="G1584" s="429"/>
      <c r="H1584" s="429"/>
      <c r="I1584" s="429"/>
      <c r="J1584" s="429"/>
      <c r="K1584" s="429"/>
      <c r="L1584" s="429"/>
      <c r="M1584" s="429"/>
      <c r="N1584" s="429"/>
      <c r="O1584" s="429"/>
      <c r="P1584" s="429"/>
      <c r="Q1584" s="429"/>
      <c r="R1584" s="429"/>
    </row>
    <row r="1585" spans="1:18" ht="36">
      <c r="A1585" s="321">
        <v>64.5</v>
      </c>
      <c r="B1585" s="314" t="s">
        <v>2776</v>
      </c>
      <c r="C1585" s="322" t="s">
        <v>2777</v>
      </c>
      <c r="D1585" s="323">
        <v>119.97</v>
      </c>
      <c r="E1585" s="323">
        <v>19.260000000000002</v>
      </c>
      <c r="F1585" s="323">
        <v>3.29</v>
      </c>
      <c r="G1585" s="323">
        <v>97.42</v>
      </c>
      <c r="H1585" s="324">
        <v>2018.95</v>
      </c>
      <c r="I1585" s="324">
        <v>251.33</v>
      </c>
      <c r="J1585" s="324">
        <v>25.01</v>
      </c>
      <c r="K1585" s="324">
        <v>1742.61</v>
      </c>
      <c r="L1585" s="357">
        <v>16.828790530966074</v>
      </c>
      <c r="M1585" s="357">
        <v>13.05</v>
      </c>
      <c r="N1585" s="357">
        <v>7.6018237082066875</v>
      </c>
      <c r="O1585" s="357">
        <v>17.887600082118659</v>
      </c>
      <c r="P1585" s="325"/>
      <c r="Q1585" s="325"/>
      <c r="R1585" s="325">
        <v>8</v>
      </c>
    </row>
    <row r="1586" spans="1:18" ht="36">
      <c r="A1586" s="321">
        <v>64.510000000000005</v>
      </c>
      <c r="B1586" s="314" t="s">
        <v>2778</v>
      </c>
      <c r="C1586" s="322" t="s">
        <v>2779</v>
      </c>
      <c r="D1586" s="323">
        <v>73.489999999999995</v>
      </c>
      <c r="E1586" s="323">
        <v>12.84</v>
      </c>
      <c r="F1586" s="323">
        <v>2.2000000000000002</v>
      </c>
      <c r="G1586" s="323">
        <v>58.45</v>
      </c>
      <c r="H1586" s="324">
        <v>1230.19</v>
      </c>
      <c r="I1586" s="324">
        <v>167.55</v>
      </c>
      <c r="J1586" s="324">
        <v>16.670000000000002</v>
      </c>
      <c r="K1586" s="324">
        <v>1045.97</v>
      </c>
      <c r="L1586" s="357">
        <v>16.739556402231599</v>
      </c>
      <c r="M1586" s="357">
        <v>13.05</v>
      </c>
      <c r="N1586" s="357">
        <v>7.5772727272727272</v>
      </c>
      <c r="O1586" s="357">
        <v>17.895124037639007</v>
      </c>
      <c r="P1586" s="325"/>
      <c r="Q1586" s="325"/>
      <c r="R1586" s="325">
        <v>8</v>
      </c>
    </row>
    <row r="1587" spans="1:18" ht="36">
      <c r="A1587" s="321">
        <v>64.52</v>
      </c>
      <c r="B1587" s="314" t="s">
        <v>2780</v>
      </c>
      <c r="C1587" s="322" t="s">
        <v>2781</v>
      </c>
      <c r="D1587" s="323">
        <v>4.4400000000000004</v>
      </c>
      <c r="E1587" s="323">
        <v>4.4400000000000004</v>
      </c>
      <c r="F1587" s="323"/>
      <c r="G1587" s="323"/>
      <c r="H1587" s="324">
        <v>58</v>
      </c>
      <c r="I1587" s="324">
        <v>58</v>
      </c>
      <c r="J1587" s="324"/>
      <c r="K1587" s="324"/>
      <c r="L1587" s="357">
        <v>13.063063063063062</v>
      </c>
      <c r="M1587" s="357">
        <v>13.05</v>
      </c>
      <c r="N1587" s="357" t="s">
        <v>135</v>
      </c>
      <c r="O1587" s="357" t="s">
        <v>135</v>
      </c>
      <c r="P1587" s="325"/>
      <c r="Q1587" s="325"/>
      <c r="R1587" s="325">
        <v>8</v>
      </c>
    </row>
    <row r="1588" spans="1:18" ht="36">
      <c r="A1588" s="321">
        <v>64.53</v>
      </c>
      <c r="B1588" s="314" t="s">
        <v>2782</v>
      </c>
      <c r="C1588" s="322" t="s">
        <v>2783</v>
      </c>
      <c r="D1588" s="323">
        <v>17.89</v>
      </c>
      <c r="E1588" s="323">
        <v>17.89</v>
      </c>
      <c r="F1588" s="323"/>
      <c r="G1588" s="323"/>
      <c r="H1588" s="324">
        <v>233.41</v>
      </c>
      <c r="I1588" s="324">
        <v>233.41</v>
      </c>
      <c r="J1588" s="324"/>
      <c r="K1588" s="324"/>
      <c r="L1588" s="357">
        <v>13.046953605366125</v>
      </c>
      <c r="M1588" s="357">
        <v>13.05</v>
      </c>
      <c r="N1588" s="357" t="s">
        <v>135</v>
      </c>
      <c r="O1588" s="357" t="s">
        <v>135</v>
      </c>
      <c r="P1588" s="325"/>
      <c r="Q1588" s="325"/>
      <c r="R1588" s="325">
        <v>8</v>
      </c>
    </row>
    <row r="1589" spans="1:18" ht="48">
      <c r="A1589" s="321">
        <v>64.540000000000006</v>
      </c>
      <c r="B1589" s="314" t="s">
        <v>2784</v>
      </c>
      <c r="C1589" s="322" t="s">
        <v>2785</v>
      </c>
      <c r="D1589" s="323">
        <v>31.7</v>
      </c>
      <c r="E1589" s="323">
        <v>31.7</v>
      </c>
      <c r="F1589" s="323"/>
      <c r="G1589" s="323"/>
      <c r="H1589" s="324">
        <v>413.73</v>
      </c>
      <c r="I1589" s="324">
        <v>413.73</v>
      </c>
      <c r="J1589" s="324"/>
      <c r="K1589" s="324"/>
      <c r="L1589" s="357">
        <v>13.051419558359623</v>
      </c>
      <c r="M1589" s="357">
        <v>13.05</v>
      </c>
      <c r="N1589" s="357" t="s">
        <v>135</v>
      </c>
      <c r="O1589" s="357" t="s">
        <v>135</v>
      </c>
      <c r="P1589" s="325"/>
      <c r="Q1589" s="325"/>
      <c r="R1589" s="325">
        <v>8</v>
      </c>
    </row>
    <row r="1590" spans="1:18" ht="48">
      <c r="A1590" s="321">
        <v>64.55</v>
      </c>
      <c r="B1590" s="314" t="s">
        <v>2786</v>
      </c>
      <c r="C1590" s="322" t="s">
        <v>2787</v>
      </c>
      <c r="D1590" s="323">
        <v>45.09</v>
      </c>
      <c r="E1590" s="323">
        <v>45.09</v>
      </c>
      <c r="F1590" s="323"/>
      <c r="G1590" s="323"/>
      <c r="H1590" s="324">
        <v>588.39</v>
      </c>
      <c r="I1590" s="324">
        <v>588.39</v>
      </c>
      <c r="J1590" s="324"/>
      <c r="K1590" s="324"/>
      <c r="L1590" s="357">
        <v>13.04923486360612</v>
      </c>
      <c r="M1590" s="357">
        <v>13.05</v>
      </c>
      <c r="N1590" s="357" t="s">
        <v>135</v>
      </c>
      <c r="O1590" s="357" t="s">
        <v>135</v>
      </c>
      <c r="P1590" s="325"/>
      <c r="Q1590" s="325"/>
      <c r="R1590" s="325">
        <v>8</v>
      </c>
    </row>
    <row r="1591" spans="1:18" ht="36">
      <c r="A1591" s="326">
        <v>64.56</v>
      </c>
      <c r="B1591" s="327" t="s">
        <v>2788</v>
      </c>
      <c r="C1591" s="328" t="s">
        <v>2789</v>
      </c>
      <c r="D1591" s="329">
        <v>37.39</v>
      </c>
      <c r="E1591" s="329">
        <v>35.56</v>
      </c>
      <c r="F1591" s="329">
        <v>1.83</v>
      </c>
      <c r="G1591" s="329"/>
      <c r="H1591" s="330">
        <v>477.94</v>
      </c>
      <c r="I1591" s="330">
        <v>464.04</v>
      </c>
      <c r="J1591" s="330">
        <v>13.9</v>
      </c>
      <c r="K1591" s="330"/>
      <c r="L1591" s="356">
        <v>12.782562182401712</v>
      </c>
      <c r="M1591" s="356">
        <v>13.05</v>
      </c>
      <c r="N1591" s="356">
        <v>7.5956284153005464</v>
      </c>
      <c r="O1591" s="356" t="s">
        <v>135</v>
      </c>
      <c r="P1591" s="331"/>
      <c r="Q1591" s="331"/>
      <c r="R1591" s="331">
        <v>8</v>
      </c>
    </row>
    <row r="1592" spans="1:18" ht="12.75">
      <c r="A1592" s="428" t="s">
        <v>2790</v>
      </c>
      <c r="B1592" s="429"/>
      <c r="C1592" s="429"/>
      <c r="D1592" s="429"/>
      <c r="E1592" s="429"/>
      <c r="F1592" s="429"/>
      <c r="G1592" s="429"/>
      <c r="H1592" s="429"/>
      <c r="I1592" s="429"/>
      <c r="J1592" s="429"/>
      <c r="K1592" s="429"/>
      <c r="L1592" s="429"/>
      <c r="M1592" s="429"/>
      <c r="N1592" s="429"/>
      <c r="O1592" s="429"/>
      <c r="P1592" s="429"/>
      <c r="Q1592" s="429"/>
      <c r="R1592" s="429"/>
    </row>
    <row r="1593" spans="1:18" ht="36">
      <c r="A1593" s="321">
        <v>64.569999999999993</v>
      </c>
      <c r="B1593" s="314" t="s">
        <v>2791</v>
      </c>
      <c r="C1593" s="322" t="s">
        <v>2792</v>
      </c>
      <c r="D1593" s="323">
        <v>86.38</v>
      </c>
      <c r="E1593" s="323">
        <v>22.93</v>
      </c>
      <c r="F1593" s="323">
        <v>1.1000000000000001</v>
      </c>
      <c r="G1593" s="323">
        <v>62.35</v>
      </c>
      <c r="H1593" s="324">
        <v>1472.15</v>
      </c>
      <c r="I1593" s="324">
        <v>299.20999999999998</v>
      </c>
      <c r="J1593" s="324">
        <v>8.34</v>
      </c>
      <c r="K1593" s="324">
        <v>1164.5999999999999</v>
      </c>
      <c r="L1593" s="357">
        <v>17.042718221810606</v>
      </c>
      <c r="M1593" s="357">
        <v>13.05</v>
      </c>
      <c r="N1593" s="357">
        <v>7.5818181818181811</v>
      </c>
      <c r="O1593" s="357">
        <v>18.67842822774659</v>
      </c>
      <c r="P1593" s="325"/>
      <c r="Q1593" s="325"/>
      <c r="R1593" s="325">
        <v>9</v>
      </c>
    </row>
    <row r="1594" spans="1:18" ht="36">
      <c r="A1594" s="321">
        <v>64.58</v>
      </c>
      <c r="B1594" s="314" t="s">
        <v>2793</v>
      </c>
      <c r="C1594" s="322" t="s">
        <v>2794</v>
      </c>
      <c r="D1594" s="323">
        <v>57.59</v>
      </c>
      <c r="E1594" s="323">
        <v>19.46</v>
      </c>
      <c r="F1594" s="323">
        <v>0.73</v>
      </c>
      <c r="G1594" s="323">
        <v>37.4</v>
      </c>
      <c r="H1594" s="324">
        <v>958.39</v>
      </c>
      <c r="I1594" s="324">
        <v>253.99</v>
      </c>
      <c r="J1594" s="324">
        <v>5.56</v>
      </c>
      <c r="K1594" s="324">
        <v>698.84</v>
      </c>
      <c r="L1594" s="357">
        <v>16.641604445216181</v>
      </c>
      <c r="M1594" s="357">
        <v>13.05</v>
      </c>
      <c r="N1594" s="357">
        <v>7.6164383561643829</v>
      </c>
      <c r="O1594" s="357">
        <v>18.685561497326205</v>
      </c>
      <c r="P1594" s="325"/>
      <c r="Q1594" s="325"/>
      <c r="R1594" s="325">
        <v>9</v>
      </c>
    </row>
    <row r="1595" spans="1:18" ht="36">
      <c r="A1595" s="321">
        <v>64.59</v>
      </c>
      <c r="B1595" s="314" t="s">
        <v>2795</v>
      </c>
      <c r="C1595" s="322" t="s">
        <v>2796</v>
      </c>
      <c r="D1595" s="323">
        <v>1.41</v>
      </c>
      <c r="E1595" s="323">
        <v>1.41</v>
      </c>
      <c r="F1595" s="323"/>
      <c r="G1595" s="323"/>
      <c r="H1595" s="324">
        <v>18.39</v>
      </c>
      <c r="I1595" s="324">
        <v>18.39</v>
      </c>
      <c r="J1595" s="324"/>
      <c r="K1595" s="324"/>
      <c r="L1595" s="357">
        <v>13.042553191489363</v>
      </c>
      <c r="M1595" s="357">
        <v>13.05</v>
      </c>
      <c r="N1595" s="357" t="s">
        <v>135</v>
      </c>
      <c r="O1595" s="357" t="s">
        <v>135</v>
      </c>
      <c r="P1595" s="325"/>
      <c r="Q1595" s="325"/>
      <c r="R1595" s="325">
        <v>9</v>
      </c>
    </row>
    <row r="1596" spans="1:18" ht="36">
      <c r="A1596" s="321">
        <v>64.599999999999994</v>
      </c>
      <c r="B1596" s="314" t="s">
        <v>2797</v>
      </c>
      <c r="C1596" s="322" t="s">
        <v>2798</v>
      </c>
      <c r="D1596" s="323">
        <v>5.53</v>
      </c>
      <c r="E1596" s="323">
        <v>5.53</v>
      </c>
      <c r="F1596" s="323"/>
      <c r="G1596" s="323"/>
      <c r="H1596" s="324">
        <v>72.14</v>
      </c>
      <c r="I1596" s="324">
        <v>72.14</v>
      </c>
      <c r="J1596" s="324"/>
      <c r="K1596" s="324"/>
      <c r="L1596" s="357">
        <v>13.045207956600361</v>
      </c>
      <c r="M1596" s="357">
        <v>13.05</v>
      </c>
      <c r="N1596" s="357" t="s">
        <v>135</v>
      </c>
      <c r="O1596" s="357" t="s">
        <v>135</v>
      </c>
      <c r="P1596" s="325"/>
      <c r="Q1596" s="325"/>
      <c r="R1596" s="325">
        <v>9</v>
      </c>
    </row>
    <row r="1597" spans="1:18" ht="48">
      <c r="A1597" s="321">
        <v>64.61</v>
      </c>
      <c r="B1597" s="314" t="s">
        <v>2799</v>
      </c>
      <c r="C1597" s="322" t="s">
        <v>2800</v>
      </c>
      <c r="D1597" s="323">
        <v>9</v>
      </c>
      <c r="E1597" s="323">
        <v>9</v>
      </c>
      <c r="F1597" s="323"/>
      <c r="G1597" s="323"/>
      <c r="H1597" s="324">
        <v>117.39</v>
      </c>
      <c r="I1597" s="324">
        <v>117.39</v>
      </c>
      <c r="J1597" s="324"/>
      <c r="K1597" s="324"/>
      <c r="L1597" s="357">
        <v>13.043333333333333</v>
      </c>
      <c r="M1597" s="357">
        <v>13.05</v>
      </c>
      <c r="N1597" s="357" t="s">
        <v>135</v>
      </c>
      <c r="O1597" s="357" t="s">
        <v>135</v>
      </c>
      <c r="P1597" s="325"/>
      <c r="Q1597" s="325"/>
      <c r="R1597" s="325">
        <v>9</v>
      </c>
    </row>
    <row r="1598" spans="1:18" ht="48">
      <c r="A1598" s="321">
        <v>64.62</v>
      </c>
      <c r="B1598" s="314" t="s">
        <v>2801</v>
      </c>
      <c r="C1598" s="322" t="s">
        <v>2802</v>
      </c>
      <c r="D1598" s="323">
        <v>14.15</v>
      </c>
      <c r="E1598" s="323">
        <v>14.15</v>
      </c>
      <c r="F1598" s="323"/>
      <c r="G1598" s="323"/>
      <c r="H1598" s="324">
        <v>184.68</v>
      </c>
      <c r="I1598" s="324">
        <v>184.68</v>
      </c>
      <c r="J1598" s="324"/>
      <c r="K1598" s="324"/>
      <c r="L1598" s="357">
        <v>13.051590106007067</v>
      </c>
      <c r="M1598" s="357">
        <v>13.05</v>
      </c>
      <c r="N1598" s="357" t="s">
        <v>135</v>
      </c>
      <c r="O1598" s="357" t="s">
        <v>135</v>
      </c>
      <c r="P1598" s="325"/>
      <c r="Q1598" s="325"/>
      <c r="R1598" s="325">
        <v>9</v>
      </c>
    </row>
    <row r="1599" spans="1:18" ht="36">
      <c r="A1599" s="326">
        <v>64.63</v>
      </c>
      <c r="B1599" s="327" t="s">
        <v>2803</v>
      </c>
      <c r="C1599" s="328" t="s">
        <v>2804</v>
      </c>
      <c r="D1599" s="329">
        <v>12.42</v>
      </c>
      <c r="E1599" s="329">
        <v>12.42</v>
      </c>
      <c r="F1599" s="329"/>
      <c r="G1599" s="329"/>
      <c r="H1599" s="330">
        <v>162.13</v>
      </c>
      <c r="I1599" s="330">
        <v>162.13</v>
      </c>
      <c r="J1599" s="330"/>
      <c r="K1599" s="330"/>
      <c r="L1599" s="356">
        <v>13.053945249597422</v>
      </c>
      <c r="M1599" s="356">
        <v>13.05</v>
      </c>
      <c r="N1599" s="356" t="s">
        <v>135</v>
      </c>
      <c r="O1599" s="356" t="s">
        <v>135</v>
      </c>
      <c r="P1599" s="331"/>
      <c r="Q1599" s="331"/>
      <c r="R1599" s="331">
        <v>9</v>
      </c>
    </row>
    <row r="1600" spans="1:18" ht="12.75">
      <c r="A1600" s="428" t="s">
        <v>2805</v>
      </c>
      <c r="B1600" s="429"/>
      <c r="C1600" s="429"/>
      <c r="D1600" s="429"/>
      <c r="E1600" s="429"/>
      <c r="F1600" s="429"/>
      <c r="G1600" s="429"/>
      <c r="H1600" s="429"/>
      <c r="I1600" s="429"/>
      <c r="J1600" s="429"/>
      <c r="K1600" s="429"/>
      <c r="L1600" s="429"/>
      <c r="M1600" s="429"/>
      <c r="N1600" s="429"/>
      <c r="O1600" s="429"/>
      <c r="P1600" s="429"/>
      <c r="Q1600" s="429"/>
      <c r="R1600" s="429"/>
    </row>
    <row r="1601" spans="1:18" ht="36">
      <c r="A1601" s="321">
        <v>64.64</v>
      </c>
      <c r="B1601" s="314" t="s">
        <v>2806</v>
      </c>
      <c r="C1601" s="322" t="s">
        <v>2807</v>
      </c>
      <c r="D1601" s="323">
        <v>126.5</v>
      </c>
      <c r="E1601" s="323">
        <v>27.61</v>
      </c>
      <c r="F1601" s="323">
        <v>1.46</v>
      </c>
      <c r="G1601" s="323">
        <v>97.43</v>
      </c>
      <c r="H1601" s="324">
        <v>2182.5700000000002</v>
      </c>
      <c r="I1601" s="324">
        <v>360.38</v>
      </c>
      <c r="J1601" s="324">
        <v>11.12</v>
      </c>
      <c r="K1601" s="324">
        <v>1811.07</v>
      </c>
      <c r="L1601" s="357">
        <v>17.253517786561265</v>
      </c>
      <c r="M1601" s="357">
        <v>13.05</v>
      </c>
      <c r="N1601" s="357">
        <v>7.6164383561643829</v>
      </c>
      <c r="O1601" s="357">
        <v>18.58842245714872</v>
      </c>
      <c r="P1601" s="325"/>
      <c r="Q1601" s="325"/>
      <c r="R1601" s="325">
        <v>10</v>
      </c>
    </row>
    <row r="1602" spans="1:18" ht="36">
      <c r="A1602" s="321">
        <v>64.650000000000006</v>
      </c>
      <c r="B1602" s="314" t="s">
        <v>2808</v>
      </c>
      <c r="C1602" s="322" t="s">
        <v>2809</v>
      </c>
      <c r="D1602" s="323">
        <v>81.19</v>
      </c>
      <c r="E1602" s="323">
        <v>22.01</v>
      </c>
      <c r="F1602" s="323">
        <v>0.73</v>
      </c>
      <c r="G1602" s="323">
        <v>58.45</v>
      </c>
      <c r="H1602" s="324">
        <v>1379.64</v>
      </c>
      <c r="I1602" s="324">
        <v>287.24</v>
      </c>
      <c r="J1602" s="324">
        <v>5.56</v>
      </c>
      <c r="K1602" s="324">
        <v>1086.8399999999999</v>
      </c>
      <c r="L1602" s="357">
        <v>16.99273309520877</v>
      </c>
      <c r="M1602" s="357">
        <v>13.05</v>
      </c>
      <c r="N1602" s="357">
        <v>7.6164383561643829</v>
      </c>
      <c r="O1602" s="357">
        <v>18.594354148845163</v>
      </c>
      <c r="P1602" s="325"/>
      <c r="Q1602" s="325"/>
      <c r="R1602" s="325">
        <v>10</v>
      </c>
    </row>
    <row r="1603" spans="1:18" ht="36">
      <c r="A1603" s="321">
        <v>64.66</v>
      </c>
      <c r="B1603" s="314" t="s">
        <v>2810</v>
      </c>
      <c r="C1603" s="322" t="s">
        <v>2811</v>
      </c>
      <c r="D1603" s="323">
        <v>2.2799999999999998</v>
      </c>
      <c r="E1603" s="323">
        <v>2.2799999999999998</v>
      </c>
      <c r="F1603" s="323"/>
      <c r="G1603" s="323"/>
      <c r="H1603" s="324">
        <v>29.71</v>
      </c>
      <c r="I1603" s="324">
        <v>29.71</v>
      </c>
      <c r="J1603" s="324"/>
      <c r="K1603" s="324"/>
      <c r="L1603" s="357">
        <v>13.030701754385966</v>
      </c>
      <c r="M1603" s="357">
        <v>13.05</v>
      </c>
      <c r="N1603" s="357" t="s">
        <v>135</v>
      </c>
      <c r="O1603" s="357" t="s">
        <v>135</v>
      </c>
      <c r="P1603" s="325"/>
      <c r="Q1603" s="325"/>
      <c r="R1603" s="325">
        <v>10</v>
      </c>
    </row>
    <row r="1604" spans="1:18" ht="36">
      <c r="A1604" s="321">
        <v>64.67</v>
      </c>
      <c r="B1604" s="314" t="s">
        <v>2812</v>
      </c>
      <c r="C1604" s="322" t="s">
        <v>2813</v>
      </c>
      <c r="D1604" s="323">
        <v>8.89</v>
      </c>
      <c r="E1604" s="323">
        <v>8.89</v>
      </c>
      <c r="F1604" s="323"/>
      <c r="G1604" s="323"/>
      <c r="H1604" s="324">
        <v>116</v>
      </c>
      <c r="I1604" s="324">
        <v>116</v>
      </c>
      <c r="J1604" s="324"/>
      <c r="K1604" s="324"/>
      <c r="L1604" s="357">
        <v>13.048368953880765</v>
      </c>
      <c r="M1604" s="357">
        <v>13.05</v>
      </c>
      <c r="N1604" s="357" t="s">
        <v>135</v>
      </c>
      <c r="O1604" s="357" t="s">
        <v>135</v>
      </c>
      <c r="P1604" s="325"/>
      <c r="Q1604" s="325"/>
      <c r="R1604" s="325">
        <v>10</v>
      </c>
    </row>
    <row r="1605" spans="1:18" ht="48">
      <c r="A1605" s="321">
        <v>64.680000000000007</v>
      </c>
      <c r="B1605" s="314" t="s">
        <v>2814</v>
      </c>
      <c r="C1605" s="322" t="s">
        <v>2815</v>
      </c>
      <c r="D1605" s="323">
        <v>15.8</v>
      </c>
      <c r="E1605" s="323">
        <v>15.8</v>
      </c>
      <c r="F1605" s="323"/>
      <c r="G1605" s="323"/>
      <c r="H1605" s="324">
        <v>206.15</v>
      </c>
      <c r="I1605" s="324">
        <v>206.15</v>
      </c>
      <c r="J1605" s="324"/>
      <c r="K1605" s="324"/>
      <c r="L1605" s="357">
        <v>13.047468354430379</v>
      </c>
      <c r="M1605" s="357">
        <v>13.05</v>
      </c>
      <c r="N1605" s="357" t="s">
        <v>135</v>
      </c>
      <c r="O1605" s="357" t="s">
        <v>135</v>
      </c>
      <c r="P1605" s="325"/>
      <c r="Q1605" s="325"/>
      <c r="R1605" s="325">
        <v>10</v>
      </c>
    </row>
    <row r="1606" spans="1:18" ht="48">
      <c r="A1606" s="321">
        <v>64.69</v>
      </c>
      <c r="B1606" s="314" t="s">
        <v>2816</v>
      </c>
      <c r="C1606" s="322" t="s">
        <v>2817</v>
      </c>
      <c r="D1606" s="323">
        <v>22.49</v>
      </c>
      <c r="E1606" s="323">
        <v>22.49</v>
      </c>
      <c r="F1606" s="323"/>
      <c r="G1606" s="323"/>
      <c r="H1606" s="324">
        <v>293.48</v>
      </c>
      <c r="I1606" s="324">
        <v>293.48</v>
      </c>
      <c r="J1606" s="324"/>
      <c r="K1606" s="324"/>
      <c r="L1606" s="357">
        <v>13.04935526900845</v>
      </c>
      <c r="M1606" s="357">
        <v>13.05</v>
      </c>
      <c r="N1606" s="357" t="s">
        <v>135</v>
      </c>
      <c r="O1606" s="357" t="s">
        <v>135</v>
      </c>
      <c r="P1606" s="325"/>
      <c r="Q1606" s="325"/>
      <c r="R1606" s="325">
        <v>10</v>
      </c>
    </row>
    <row r="1607" spans="1:18" ht="36">
      <c r="A1607" s="326">
        <v>64.7</v>
      </c>
      <c r="B1607" s="327" t="s">
        <v>2818</v>
      </c>
      <c r="C1607" s="328" t="s">
        <v>2819</v>
      </c>
      <c r="D1607" s="329">
        <v>19.37</v>
      </c>
      <c r="E1607" s="329">
        <v>18.64</v>
      </c>
      <c r="F1607" s="329">
        <v>0.73</v>
      </c>
      <c r="G1607" s="329"/>
      <c r="H1607" s="330">
        <v>248.76</v>
      </c>
      <c r="I1607" s="330">
        <v>243.2</v>
      </c>
      <c r="J1607" s="330">
        <v>5.56</v>
      </c>
      <c r="K1607" s="330"/>
      <c r="L1607" s="356">
        <v>12.842540010325244</v>
      </c>
      <c r="M1607" s="356">
        <v>13.05</v>
      </c>
      <c r="N1607" s="356">
        <v>7.6164383561643829</v>
      </c>
      <c r="O1607" s="356" t="s">
        <v>135</v>
      </c>
      <c r="P1607" s="331"/>
      <c r="Q1607" s="331"/>
      <c r="R1607" s="331">
        <v>10</v>
      </c>
    </row>
    <row r="1608" spans="1:18" ht="12.75">
      <c r="A1608" s="428" t="s">
        <v>2820</v>
      </c>
      <c r="B1608" s="429"/>
      <c r="C1608" s="429"/>
      <c r="D1608" s="429"/>
      <c r="E1608" s="429"/>
      <c r="F1608" s="429"/>
      <c r="G1608" s="429"/>
      <c r="H1608" s="429"/>
      <c r="I1608" s="429"/>
      <c r="J1608" s="429"/>
      <c r="K1608" s="429"/>
      <c r="L1608" s="429"/>
      <c r="M1608" s="429"/>
      <c r="N1608" s="429"/>
      <c r="O1608" s="429"/>
      <c r="P1608" s="429"/>
      <c r="Q1608" s="429"/>
      <c r="R1608" s="429"/>
    </row>
    <row r="1609" spans="1:18" ht="24">
      <c r="A1609" s="321">
        <v>64.709999999999994</v>
      </c>
      <c r="B1609" s="314" t="s">
        <v>2821</v>
      </c>
      <c r="C1609" s="322" t="s">
        <v>2822</v>
      </c>
      <c r="D1609" s="323">
        <v>161.65</v>
      </c>
      <c r="E1609" s="323">
        <v>38.93</v>
      </c>
      <c r="F1609" s="323">
        <v>2.56</v>
      </c>
      <c r="G1609" s="323">
        <v>120.16</v>
      </c>
      <c r="H1609" s="324">
        <v>1688.28</v>
      </c>
      <c r="I1609" s="324">
        <v>508.1</v>
      </c>
      <c r="J1609" s="324">
        <v>19.45</v>
      </c>
      <c r="K1609" s="324">
        <v>1160.73</v>
      </c>
      <c r="L1609" s="357">
        <v>10.444045777915248</v>
      </c>
      <c r="M1609" s="357">
        <v>13.05</v>
      </c>
      <c r="N1609" s="357">
        <v>7.59765625</v>
      </c>
      <c r="O1609" s="357">
        <v>9.6598701731025312</v>
      </c>
      <c r="P1609" s="325"/>
      <c r="Q1609" s="325"/>
      <c r="R1609" s="325">
        <v>11</v>
      </c>
    </row>
    <row r="1610" spans="1:18">
      <c r="A1610" s="321">
        <v>64.72</v>
      </c>
      <c r="B1610" s="314" t="s">
        <v>2823</v>
      </c>
      <c r="C1610" s="322" t="s">
        <v>2824</v>
      </c>
      <c r="D1610" s="323">
        <v>97.57</v>
      </c>
      <c r="E1610" s="323">
        <v>26.34</v>
      </c>
      <c r="F1610" s="323">
        <v>1.46</v>
      </c>
      <c r="G1610" s="323">
        <v>69.77</v>
      </c>
      <c r="H1610" s="324">
        <v>931.29</v>
      </c>
      <c r="I1610" s="324">
        <v>343.79</v>
      </c>
      <c r="J1610" s="324">
        <v>11.12</v>
      </c>
      <c r="K1610" s="324">
        <v>576.38</v>
      </c>
      <c r="L1610" s="357">
        <v>9.5448396023367845</v>
      </c>
      <c r="M1610" s="357">
        <v>13.05</v>
      </c>
      <c r="N1610" s="357">
        <v>7.6164383561643829</v>
      </c>
      <c r="O1610" s="357">
        <v>8.2611437580622056</v>
      </c>
      <c r="P1610" s="325"/>
      <c r="Q1610" s="325"/>
      <c r="R1610" s="325">
        <v>11</v>
      </c>
    </row>
    <row r="1611" spans="1:18" ht="24">
      <c r="A1611" s="321">
        <v>64.73</v>
      </c>
      <c r="B1611" s="314" t="s">
        <v>2825</v>
      </c>
      <c r="C1611" s="322" t="s">
        <v>2826</v>
      </c>
      <c r="D1611" s="323">
        <v>3.03</v>
      </c>
      <c r="E1611" s="323">
        <v>3.03</v>
      </c>
      <c r="F1611" s="323"/>
      <c r="G1611" s="323"/>
      <c r="H1611" s="324">
        <v>39.549999999999997</v>
      </c>
      <c r="I1611" s="324">
        <v>39.549999999999997</v>
      </c>
      <c r="J1611" s="324"/>
      <c r="K1611" s="324"/>
      <c r="L1611" s="357">
        <v>13.052805280528053</v>
      </c>
      <c r="M1611" s="357">
        <v>13.05</v>
      </c>
      <c r="N1611" s="357" t="s">
        <v>135</v>
      </c>
      <c r="O1611" s="357" t="s">
        <v>135</v>
      </c>
      <c r="P1611" s="325"/>
      <c r="Q1611" s="325"/>
      <c r="R1611" s="325">
        <v>11</v>
      </c>
    </row>
    <row r="1612" spans="1:18" ht="24">
      <c r="A1612" s="321">
        <v>64.739999999999995</v>
      </c>
      <c r="B1612" s="314" t="s">
        <v>2827</v>
      </c>
      <c r="C1612" s="322" t="s">
        <v>2828</v>
      </c>
      <c r="D1612" s="323">
        <v>12.64</v>
      </c>
      <c r="E1612" s="323">
        <v>12.64</v>
      </c>
      <c r="F1612" s="323"/>
      <c r="G1612" s="323"/>
      <c r="H1612" s="324">
        <v>165.01</v>
      </c>
      <c r="I1612" s="324">
        <v>165.01</v>
      </c>
      <c r="J1612" s="324"/>
      <c r="K1612" s="324"/>
      <c r="L1612" s="357">
        <v>13.054588607594935</v>
      </c>
      <c r="M1612" s="357">
        <v>13.05</v>
      </c>
      <c r="N1612" s="357" t="s">
        <v>135</v>
      </c>
      <c r="O1612" s="357" t="s">
        <v>135</v>
      </c>
      <c r="P1612" s="325"/>
      <c r="Q1612" s="325"/>
      <c r="R1612" s="325">
        <v>11</v>
      </c>
    </row>
    <row r="1613" spans="1:18" ht="36">
      <c r="A1613" s="321">
        <v>64.75</v>
      </c>
      <c r="B1613" s="314" t="s">
        <v>2829</v>
      </c>
      <c r="C1613" s="322" t="s">
        <v>2830</v>
      </c>
      <c r="D1613" s="323">
        <v>26.02</v>
      </c>
      <c r="E1613" s="323">
        <v>26.02</v>
      </c>
      <c r="F1613" s="323"/>
      <c r="G1613" s="323"/>
      <c r="H1613" s="324">
        <v>339.56</v>
      </c>
      <c r="I1613" s="324">
        <v>339.56</v>
      </c>
      <c r="J1613" s="324"/>
      <c r="K1613" s="324"/>
      <c r="L1613" s="357">
        <v>13.049961568024596</v>
      </c>
      <c r="M1613" s="357">
        <v>13.05</v>
      </c>
      <c r="N1613" s="357" t="s">
        <v>135</v>
      </c>
      <c r="O1613" s="357" t="s">
        <v>135</v>
      </c>
      <c r="P1613" s="325"/>
      <c r="Q1613" s="325"/>
      <c r="R1613" s="325">
        <v>11</v>
      </c>
    </row>
    <row r="1614" spans="1:18" ht="36">
      <c r="A1614" s="321">
        <v>64.760000000000005</v>
      </c>
      <c r="B1614" s="314" t="s">
        <v>2831</v>
      </c>
      <c r="C1614" s="322" t="s">
        <v>2832</v>
      </c>
      <c r="D1614" s="323">
        <v>35.630000000000003</v>
      </c>
      <c r="E1614" s="323">
        <v>35.630000000000003</v>
      </c>
      <c r="F1614" s="323"/>
      <c r="G1614" s="323"/>
      <c r="H1614" s="324">
        <v>465.02</v>
      </c>
      <c r="I1614" s="324">
        <v>465.02</v>
      </c>
      <c r="J1614" s="324"/>
      <c r="K1614" s="324"/>
      <c r="L1614" s="357">
        <v>13.051361212461407</v>
      </c>
      <c r="M1614" s="357">
        <v>13.05</v>
      </c>
      <c r="N1614" s="357" t="s">
        <v>135</v>
      </c>
      <c r="O1614" s="357" t="s">
        <v>135</v>
      </c>
      <c r="P1614" s="325"/>
      <c r="Q1614" s="325"/>
      <c r="R1614" s="325">
        <v>11</v>
      </c>
    </row>
    <row r="1615" spans="1:18" ht="24">
      <c r="A1615" s="326">
        <v>64.77</v>
      </c>
      <c r="B1615" s="327" t="s">
        <v>2833</v>
      </c>
      <c r="C1615" s="328" t="s">
        <v>2834</v>
      </c>
      <c r="D1615" s="329">
        <v>31.44</v>
      </c>
      <c r="E1615" s="329">
        <v>30.34</v>
      </c>
      <c r="F1615" s="329">
        <v>1.1000000000000001</v>
      </c>
      <c r="G1615" s="329"/>
      <c r="H1615" s="330">
        <v>404.3</v>
      </c>
      <c r="I1615" s="330">
        <v>395.96</v>
      </c>
      <c r="J1615" s="330">
        <v>8.34</v>
      </c>
      <c r="K1615" s="330"/>
      <c r="L1615" s="356">
        <v>12.85941475826972</v>
      </c>
      <c r="M1615" s="356">
        <v>13.05</v>
      </c>
      <c r="N1615" s="356">
        <v>7.5818181818181811</v>
      </c>
      <c r="O1615" s="356" t="s">
        <v>135</v>
      </c>
      <c r="P1615" s="331"/>
      <c r="Q1615" s="331"/>
      <c r="R1615" s="331">
        <v>11</v>
      </c>
    </row>
    <row r="1616" spans="1:18" ht="12.75">
      <c r="A1616" s="428" t="s">
        <v>2835</v>
      </c>
      <c r="B1616" s="429"/>
      <c r="C1616" s="429"/>
      <c r="D1616" s="429"/>
      <c r="E1616" s="429"/>
      <c r="F1616" s="429"/>
      <c r="G1616" s="429"/>
      <c r="H1616" s="429"/>
      <c r="I1616" s="429"/>
      <c r="J1616" s="429"/>
      <c r="K1616" s="429"/>
      <c r="L1616" s="429"/>
      <c r="M1616" s="429"/>
      <c r="N1616" s="429"/>
      <c r="O1616" s="429"/>
      <c r="P1616" s="429"/>
      <c r="Q1616" s="429"/>
      <c r="R1616" s="429"/>
    </row>
    <row r="1617" spans="1:18" ht="24">
      <c r="A1617" s="321">
        <v>64.78</v>
      </c>
      <c r="B1617" s="314" t="s">
        <v>2836</v>
      </c>
      <c r="C1617" s="322" t="s">
        <v>2837</v>
      </c>
      <c r="D1617" s="323">
        <v>285.81</v>
      </c>
      <c r="E1617" s="323">
        <v>52.37</v>
      </c>
      <c r="F1617" s="323">
        <v>4.76</v>
      </c>
      <c r="G1617" s="323">
        <v>228.68</v>
      </c>
      <c r="H1617" s="324">
        <v>2936.27</v>
      </c>
      <c r="I1617" s="324">
        <v>683.45</v>
      </c>
      <c r="J1617" s="324">
        <v>36.130000000000003</v>
      </c>
      <c r="K1617" s="324">
        <v>2216.69</v>
      </c>
      <c r="L1617" s="357">
        <v>10.273503376368916</v>
      </c>
      <c r="M1617" s="357">
        <v>13.05</v>
      </c>
      <c r="N1617" s="357">
        <v>7.5903361344537821</v>
      </c>
      <c r="O1617" s="357">
        <v>9.6934143781703686</v>
      </c>
      <c r="P1617" s="325"/>
      <c r="Q1617" s="325"/>
      <c r="R1617" s="325">
        <v>12</v>
      </c>
    </row>
    <row r="1618" spans="1:18">
      <c r="A1618" s="321">
        <v>64.790000000000006</v>
      </c>
      <c r="B1618" s="314" t="s">
        <v>2838</v>
      </c>
      <c r="C1618" s="322" t="s">
        <v>2839</v>
      </c>
      <c r="D1618" s="323">
        <v>170.6</v>
      </c>
      <c r="E1618" s="323">
        <v>36.29</v>
      </c>
      <c r="F1618" s="323">
        <v>2.56</v>
      </c>
      <c r="G1618" s="323">
        <v>131.75</v>
      </c>
      <c r="H1618" s="324">
        <v>1582.19</v>
      </c>
      <c r="I1618" s="324">
        <v>473.58</v>
      </c>
      <c r="J1618" s="324">
        <v>19.45</v>
      </c>
      <c r="K1618" s="324">
        <v>1089.1600000000001</v>
      </c>
      <c r="L1618" s="357">
        <v>9.2742672919109026</v>
      </c>
      <c r="M1618" s="357">
        <v>13.05</v>
      </c>
      <c r="N1618" s="357">
        <v>7.59765625</v>
      </c>
      <c r="O1618" s="357">
        <v>8.2668690702087293</v>
      </c>
      <c r="P1618" s="325"/>
      <c r="Q1618" s="325"/>
      <c r="R1618" s="325">
        <v>12</v>
      </c>
    </row>
    <row r="1619" spans="1:18" ht="24">
      <c r="A1619" s="321">
        <v>64.8</v>
      </c>
      <c r="B1619" s="314" t="s">
        <v>2840</v>
      </c>
      <c r="C1619" s="322" t="s">
        <v>2841</v>
      </c>
      <c r="D1619" s="323">
        <v>5.0199999999999996</v>
      </c>
      <c r="E1619" s="323">
        <v>5.0199999999999996</v>
      </c>
      <c r="F1619" s="323"/>
      <c r="G1619" s="323"/>
      <c r="H1619" s="324">
        <v>65.459999999999994</v>
      </c>
      <c r="I1619" s="324">
        <v>65.459999999999994</v>
      </c>
      <c r="J1619" s="324"/>
      <c r="K1619" s="324"/>
      <c r="L1619" s="357">
        <v>13.039840637450199</v>
      </c>
      <c r="M1619" s="357">
        <v>13.05</v>
      </c>
      <c r="N1619" s="357" t="s">
        <v>135</v>
      </c>
      <c r="O1619" s="357" t="s">
        <v>135</v>
      </c>
      <c r="P1619" s="325"/>
      <c r="Q1619" s="325"/>
      <c r="R1619" s="325">
        <v>12</v>
      </c>
    </row>
    <row r="1620" spans="1:18" ht="24">
      <c r="A1620" s="321">
        <v>64.81</v>
      </c>
      <c r="B1620" s="314" t="s">
        <v>2842</v>
      </c>
      <c r="C1620" s="322" t="s">
        <v>2843</v>
      </c>
      <c r="D1620" s="323">
        <v>20.059999999999999</v>
      </c>
      <c r="E1620" s="323">
        <v>20.059999999999999</v>
      </c>
      <c r="F1620" s="323"/>
      <c r="G1620" s="323"/>
      <c r="H1620" s="324">
        <v>261.83</v>
      </c>
      <c r="I1620" s="324">
        <v>261.83</v>
      </c>
      <c r="J1620" s="324"/>
      <c r="K1620" s="324"/>
      <c r="L1620" s="357">
        <v>13.052342971086739</v>
      </c>
      <c r="M1620" s="357">
        <v>13.05</v>
      </c>
      <c r="N1620" s="357" t="s">
        <v>135</v>
      </c>
      <c r="O1620" s="357" t="s">
        <v>135</v>
      </c>
      <c r="P1620" s="325"/>
      <c r="Q1620" s="325"/>
      <c r="R1620" s="325">
        <v>12</v>
      </c>
    </row>
    <row r="1621" spans="1:18" ht="36">
      <c r="A1621" s="321">
        <v>64.819999999999993</v>
      </c>
      <c r="B1621" s="314" t="s">
        <v>2844</v>
      </c>
      <c r="C1621" s="322" t="s">
        <v>2845</v>
      </c>
      <c r="D1621" s="323">
        <v>41.54</v>
      </c>
      <c r="E1621" s="323">
        <v>41.17</v>
      </c>
      <c r="F1621" s="323">
        <v>0.37</v>
      </c>
      <c r="G1621" s="323"/>
      <c r="H1621" s="324">
        <v>540.08000000000004</v>
      </c>
      <c r="I1621" s="324">
        <v>537.29999999999995</v>
      </c>
      <c r="J1621" s="324">
        <v>2.78</v>
      </c>
      <c r="K1621" s="324"/>
      <c r="L1621" s="357">
        <v>13.001444390948485</v>
      </c>
      <c r="M1621" s="357">
        <v>13.05</v>
      </c>
      <c r="N1621" s="357">
        <v>7.5135135135135132</v>
      </c>
      <c r="O1621" s="357" t="s">
        <v>135</v>
      </c>
      <c r="P1621" s="325"/>
      <c r="Q1621" s="325"/>
      <c r="R1621" s="325">
        <v>12</v>
      </c>
    </row>
    <row r="1622" spans="1:18" ht="36">
      <c r="A1622" s="321">
        <v>64.83</v>
      </c>
      <c r="B1622" s="314" t="s">
        <v>2846</v>
      </c>
      <c r="C1622" s="322" t="s">
        <v>2847</v>
      </c>
      <c r="D1622" s="323">
        <v>56.9</v>
      </c>
      <c r="E1622" s="323">
        <v>56.53</v>
      </c>
      <c r="F1622" s="323">
        <v>0.37</v>
      </c>
      <c r="G1622" s="323"/>
      <c r="H1622" s="324">
        <v>740.54</v>
      </c>
      <c r="I1622" s="324">
        <v>737.76</v>
      </c>
      <c r="J1622" s="324">
        <v>2.78</v>
      </c>
      <c r="K1622" s="324"/>
      <c r="L1622" s="357">
        <v>13.014762741652021</v>
      </c>
      <c r="M1622" s="357">
        <v>13.05</v>
      </c>
      <c r="N1622" s="357">
        <v>7.5135135135135132</v>
      </c>
      <c r="O1622" s="357" t="s">
        <v>135</v>
      </c>
      <c r="P1622" s="325"/>
      <c r="Q1622" s="325"/>
      <c r="R1622" s="325">
        <v>12</v>
      </c>
    </row>
    <row r="1623" spans="1:18" ht="24">
      <c r="A1623" s="326">
        <v>64.84</v>
      </c>
      <c r="B1623" s="327" t="s">
        <v>2848</v>
      </c>
      <c r="C1623" s="328" t="s">
        <v>2849</v>
      </c>
      <c r="D1623" s="329">
        <v>49.2</v>
      </c>
      <c r="E1623" s="329">
        <v>47.37</v>
      </c>
      <c r="F1623" s="329">
        <v>1.83</v>
      </c>
      <c r="G1623" s="329"/>
      <c r="H1623" s="330">
        <v>632.08000000000004</v>
      </c>
      <c r="I1623" s="330">
        <v>618.17999999999995</v>
      </c>
      <c r="J1623" s="330">
        <v>13.9</v>
      </c>
      <c r="K1623" s="330"/>
      <c r="L1623" s="356">
        <v>12.847154471544716</v>
      </c>
      <c r="M1623" s="356">
        <v>13.05</v>
      </c>
      <c r="N1623" s="356">
        <v>7.5956284153005464</v>
      </c>
      <c r="O1623" s="356" t="s">
        <v>135</v>
      </c>
      <c r="P1623" s="331"/>
      <c r="Q1623" s="331"/>
      <c r="R1623" s="331">
        <v>12</v>
      </c>
    </row>
    <row r="1624" spans="1:18" ht="12.75">
      <c r="A1624" s="428" t="s">
        <v>2850</v>
      </c>
      <c r="B1624" s="429"/>
      <c r="C1624" s="429"/>
      <c r="D1624" s="429"/>
      <c r="E1624" s="429"/>
      <c r="F1624" s="429"/>
      <c r="G1624" s="429"/>
      <c r="H1624" s="429"/>
      <c r="I1624" s="429"/>
      <c r="J1624" s="429"/>
      <c r="K1624" s="429"/>
      <c r="L1624" s="429"/>
      <c r="M1624" s="429"/>
      <c r="N1624" s="429"/>
      <c r="O1624" s="429"/>
      <c r="P1624" s="429"/>
      <c r="Q1624" s="429"/>
      <c r="R1624" s="429"/>
    </row>
    <row r="1625" spans="1:18" ht="24">
      <c r="A1625" s="321">
        <v>64.849999999999994</v>
      </c>
      <c r="B1625" s="314" t="s">
        <v>2851</v>
      </c>
      <c r="C1625" s="322" t="s">
        <v>2852</v>
      </c>
      <c r="D1625" s="323">
        <v>299.07</v>
      </c>
      <c r="E1625" s="323">
        <v>63.8</v>
      </c>
      <c r="F1625" s="323">
        <v>6.59</v>
      </c>
      <c r="G1625" s="323">
        <v>228.68</v>
      </c>
      <c r="H1625" s="324">
        <v>3099.27</v>
      </c>
      <c r="I1625" s="324">
        <v>832.56</v>
      </c>
      <c r="J1625" s="324">
        <v>50.02</v>
      </c>
      <c r="K1625" s="324">
        <v>2216.69</v>
      </c>
      <c r="L1625" s="357">
        <v>10.363025378673889</v>
      </c>
      <c r="M1625" s="357">
        <v>13.05</v>
      </c>
      <c r="N1625" s="357">
        <v>7.5902883156297429</v>
      </c>
      <c r="O1625" s="357">
        <v>9.6934143781703686</v>
      </c>
      <c r="P1625" s="325"/>
      <c r="Q1625" s="325"/>
      <c r="R1625" s="325">
        <v>13</v>
      </c>
    </row>
    <row r="1626" spans="1:18">
      <c r="A1626" s="321">
        <v>64.86</v>
      </c>
      <c r="B1626" s="314" t="s">
        <v>2853</v>
      </c>
      <c r="C1626" s="322" t="s">
        <v>2854</v>
      </c>
      <c r="D1626" s="323">
        <v>179</v>
      </c>
      <c r="E1626" s="323">
        <v>43.59</v>
      </c>
      <c r="F1626" s="323">
        <v>3.66</v>
      </c>
      <c r="G1626" s="323">
        <v>131.75</v>
      </c>
      <c r="H1626" s="324">
        <v>1694.32</v>
      </c>
      <c r="I1626" s="324">
        <v>568.85</v>
      </c>
      <c r="J1626" s="324">
        <v>27.79</v>
      </c>
      <c r="K1626" s="324">
        <v>1097.68</v>
      </c>
      <c r="L1626" s="357">
        <v>9.4654748603351955</v>
      </c>
      <c r="M1626" s="357">
        <v>13.05</v>
      </c>
      <c r="N1626" s="357">
        <v>7.5928961748633874</v>
      </c>
      <c r="O1626" s="357">
        <v>8.3315370018975337</v>
      </c>
      <c r="P1626" s="325"/>
      <c r="Q1626" s="325"/>
      <c r="R1626" s="325">
        <v>13</v>
      </c>
    </row>
    <row r="1627" spans="1:18" ht="24">
      <c r="A1627" s="321">
        <v>64.87</v>
      </c>
      <c r="B1627" s="314" t="s">
        <v>2855</v>
      </c>
      <c r="C1627" s="322" t="s">
        <v>2856</v>
      </c>
      <c r="D1627" s="323">
        <v>6.48</v>
      </c>
      <c r="E1627" s="323">
        <v>6.48</v>
      </c>
      <c r="F1627" s="323"/>
      <c r="G1627" s="323"/>
      <c r="H1627" s="324">
        <v>84.55</v>
      </c>
      <c r="I1627" s="324">
        <v>84.55</v>
      </c>
      <c r="J1627" s="324"/>
      <c r="K1627" s="324"/>
      <c r="L1627" s="357">
        <v>13.047839506172838</v>
      </c>
      <c r="M1627" s="357">
        <v>13.05</v>
      </c>
      <c r="N1627" s="357" t="s">
        <v>135</v>
      </c>
      <c r="O1627" s="357" t="s">
        <v>135</v>
      </c>
      <c r="P1627" s="325"/>
      <c r="Q1627" s="325"/>
      <c r="R1627" s="325">
        <v>13</v>
      </c>
    </row>
    <row r="1628" spans="1:18" ht="24">
      <c r="A1628" s="321">
        <v>64.88</v>
      </c>
      <c r="B1628" s="314" t="s">
        <v>2857</v>
      </c>
      <c r="C1628" s="322" t="s">
        <v>2858</v>
      </c>
      <c r="D1628" s="323">
        <v>25.71</v>
      </c>
      <c r="E1628" s="323">
        <v>25.71</v>
      </c>
      <c r="F1628" s="323"/>
      <c r="G1628" s="323"/>
      <c r="H1628" s="324">
        <v>335.47</v>
      </c>
      <c r="I1628" s="324">
        <v>335.47</v>
      </c>
      <c r="J1628" s="324"/>
      <c r="K1628" s="324"/>
      <c r="L1628" s="357">
        <v>13.04823026059899</v>
      </c>
      <c r="M1628" s="357">
        <v>13.05</v>
      </c>
      <c r="N1628" s="357" t="s">
        <v>135</v>
      </c>
      <c r="O1628" s="357" t="s">
        <v>135</v>
      </c>
      <c r="P1628" s="325"/>
      <c r="Q1628" s="325"/>
      <c r="R1628" s="325">
        <v>13</v>
      </c>
    </row>
    <row r="1629" spans="1:18" ht="36">
      <c r="A1629" s="321">
        <v>64.89</v>
      </c>
      <c r="B1629" s="314" t="s">
        <v>2859</v>
      </c>
      <c r="C1629" s="322" t="s">
        <v>2860</v>
      </c>
      <c r="D1629" s="323">
        <v>53.61</v>
      </c>
      <c r="E1629" s="323">
        <v>52.88</v>
      </c>
      <c r="F1629" s="323">
        <v>0.73</v>
      </c>
      <c r="G1629" s="323"/>
      <c r="H1629" s="324">
        <v>695.59</v>
      </c>
      <c r="I1629" s="324">
        <v>690.03</v>
      </c>
      <c r="J1629" s="324">
        <v>5.56</v>
      </c>
      <c r="K1629" s="324"/>
      <c r="L1629" s="357">
        <v>12.975004663309084</v>
      </c>
      <c r="M1629" s="357">
        <v>13.05</v>
      </c>
      <c r="N1629" s="357">
        <v>7.6164383561643829</v>
      </c>
      <c r="O1629" s="357" t="s">
        <v>135</v>
      </c>
      <c r="P1629" s="325"/>
      <c r="Q1629" s="325"/>
      <c r="R1629" s="325">
        <v>13</v>
      </c>
    </row>
    <row r="1630" spans="1:18" ht="36">
      <c r="A1630" s="321">
        <v>64.900000000000006</v>
      </c>
      <c r="B1630" s="314" t="s">
        <v>2861</v>
      </c>
      <c r="C1630" s="322" t="s">
        <v>2862</v>
      </c>
      <c r="D1630" s="323">
        <v>73.040000000000006</v>
      </c>
      <c r="E1630" s="323">
        <v>72.31</v>
      </c>
      <c r="F1630" s="323">
        <v>0.73</v>
      </c>
      <c r="G1630" s="323"/>
      <c r="H1630" s="324">
        <v>949.24</v>
      </c>
      <c r="I1630" s="324">
        <v>943.68</v>
      </c>
      <c r="J1630" s="324">
        <v>5.56</v>
      </c>
      <c r="K1630" s="324"/>
      <c r="L1630" s="357">
        <v>12.996166484118291</v>
      </c>
      <c r="M1630" s="357">
        <v>13.05</v>
      </c>
      <c r="N1630" s="357">
        <v>7.6164383561643829</v>
      </c>
      <c r="O1630" s="357" t="s">
        <v>135</v>
      </c>
      <c r="P1630" s="325"/>
      <c r="Q1630" s="325"/>
      <c r="R1630" s="325">
        <v>13</v>
      </c>
    </row>
    <row r="1631" spans="1:18" ht="24">
      <c r="A1631" s="326">
        <v>64.91</v>
      </c>
      <c r="B1631" s="327" t="s">
        <v>2863</v>
      </c>
      <c r="C1631" s="328" t="s">
        <v>2864</v>
      </c>
      <c r="D1631" s="329">
        <v>65.16</v>
      </c>
      <c r="E1631" s="329">
        <v>62.23</v>
      </c>
      <c r="F1631" s="329">
        <v>2.93</v>
      </c>
      <c r="G1631" s="329"/>
      <c r="H1631" s="330">
        <v>834.35</v>
      </c>
      <c r="I1631" s="330">
        <v>812.12</v>
      </c>
      <c r="J1631" s="330">
        <v>22.23</v>
      </c>
      <c r="K1631" s="330"/>
      <c r="L1631" s="356">
        <v>12.804634745242481</v>
      </c>
      <c r="M1631" s="356">
        <v>13.05</v>
      </c>
      <c r="N1631" s="356">
        <v>7.5870307167235493</v>
      </c>
      <c r="O1631" s="356" t="s">
        <v>135</v>
      </c>
      <c r="P1631" s="331"/>
      <c r="Q1631" s="331"/>
      <c r="R1631" s="331">
        <v>13</v>
      </c>
    </row>
    <row r="1632" spans="1:18" ht="12.75">
      <c r="A1632" s="428" t="s">
        <v>2865</v>
      </c>
      <c r="B1632" s="429"/>
      <c r="C1632" s="429"/>
      <c r="D1632" s="429"/>
      <c r="E1632" s="429"/>
      <c r="F1632" s="429"/>
      <c r="G1632" s="429"/>
      <c r="H1632" s="429"/>
      <c r="I1632" s="429"/>
      <c r="J1632" s="429"/>
      <c r="K1632" s="429"/>
      <c r="L1632" s="429"/>
      <c r="M1632" s="429"/>
      <c r="N1632" s="429"/>
      <c r="O1632" s="429"/>
      <c r="P1632" s="429"/>
      <c r="Q1632" s="429"/>
      <c r="R1632" s="429"/>
    </row>
    <row r="1633" spans="1:18" ht="24">
      <c r="A1633" s="321">
        <v>64.92</v>
      </c>
      <c r="B1633" s="314" t="s">
        <v>2866</v>
      </c>
      <c r="C1633" s="322" t="s">
        <v>2867</v>
      </c>
      <c r="D1633" s="323">
        <v>166.97</v>
      </c>
      <c r="E1633" s="323">
        <v>36.28</v>
      </c>
      <c r="F1633" s="323">
        <v>1.83</v>
      </c>
      <c r="G1633" s="323">
        <v>128.86000000000001</v>
      </c>
      <c r="H1633" s="324">
        <v>2118.4499999999998</v>
      </c>
      <c r="I1633" s="324">
        <v>473.41</v>
      </c>
      <c r="J1633" s="324">
        <v>13.9</v>
      </c>
      <c r="K1633" s="324">
        <v>1631.14</v>
      </c>
      <c r="L1633" s="357">
        <v>12.687608552434568</v>
      </c>
      <c r="M1633" s="357">
        <v>13.05</v>
      </c>
      <c r="N1633" s="357">
        <v>7.5956284153005464</v>
      </c>
      <c r="O1633" s="357">
        <v>12.658233742045631</v>
      </c>
      <c r="P1633" s="325"/>
      <c r="Q1633" s="325"/>
      <c r="R1633" s="325">
        <v>14</v>
      </c>
    </row>
    <row r="1634" spans="1:18" ht="24">
      <c r="A1634" s="321">
        <v>64.930000000000007</v>
      </c>
      <c r="B1634" s="314" t="s">
        <v>2868</v>
      </c>
      <c r="C1634" s="322" t="s">
        <v>2869</v>
      </c>
      <c r="D1634" s="323">
        <v>101.82</v>
      </c>
      <c r="E1634" s="323">
        <v>26.9</v>
      </c>
      <c r="F1634" s="323">
        <v>0.73</v>
      </c>
      <c r="G1634" s="323">
        <v>74.19</v>
      </c>
      <c r="H1634" s="324">
        <v>1297.01</v>
      </c>
      <c r="I1634" s="324">
        <v>351.07</v>
      </c>
      <c r="J1634" s="324">
        <v>5.56</v>
      </c>
      <c r="K1634" s="324">
        <v>940.38</v>
      </c>
      <c r="L1634" s="357">
        <v>12.738263602435671</v>
      </c>
      <c r="M1634" s="357">
        <v>13.05</v>
      </c>
      <c r="N1634" s="357">
        <v>7.6164383561643829</v>
      </c>
      <c r="O1634" s="357">
        <v>12.675293166194905</v>
      </c>
      <c r="P1634" s="325"/>
      <c r="Q1634" s="325"/>
      <c r="R1634" s="325">
        <v>14</v>
      </c>
    </row>
    <row r="1635" spans="1:18" ht="24">
      <c r="A1635" s="321">
        <v>64.94</v>
      </c>
      <c r="B1635" s="314" t="s">
        <v>2870</v>
      </c>
      <c r="C1635" s="322" t="s">
        <v>2871</v>
      </c>
      <c r="D1635" s="323">
        <v>2.2400000000000002</v>
      </c>
      <c r="E1635" s="323">
        <v>2.2400000000000002</v>
      </c>
      <c r="F1635" s="323"/>
      <c r="G1635" s="323"/>
      <c r="H1635" s="324">
        <v>29.26</v>
      </c>
      <c r="I1635" s="324">
        <v>29.26</v>
      </c>
      <c r="J1635" s="324"/>
      <c r="K1635" s="324"/>
      <c r="L1635" s="357">
        <v>13.0625</v>
      </c>
      <c r="M1635" s="357">
        <v>13.05</v>
      </c>
      <c r="N1635" s="357" t="s">
        <v>135</v>
      </c>
      <c r="O1635" s="357" t="s">
        <v>135</v>
      </c>
      <c r="P1635" s="325"/>
      <c r="Q1635" s="325"/>
      <c r="R1635" s="325">
        <v>14</v>
      </c>
    </row>
    <row r="1636" spans="1:18" ht="24">
      <c r="A1636" s="321">
        <v>64.95</v>
      </c>
      <c r="B1636" s="314" t="s">
        <v>2872</v>
      </c>
      <c r="C1636" s="322" t="s">
        <v>2873</v>
      </c>
      <c r="D1636" s="323">
        <v>8.8699999999999992</v>
      </c>
      <c r="E1636" s="323">
        <v>8.8699999999999992</v>
      </c>
      <c r="F1636" s="323"/>
      <c r="G1636" s="323"/>
      <c r="H1636" s="324">
        <v>115.69</v>
      </c>
      <c r="I1636" s="324">
        <v>115.69</v>
      </c>
      <c r="J1636" s="324"/>
      <c r="K1636" s="324"/>
      <c r="L1636" s="357">
        <v>13.04284103720406</v>
      </c>
      <c r="M1636" s="357">
        <v>13.05</v>
      </c>
      <c r="N1636" s="357" t="s">
        <v>135</v>
      </c>
      <c r="O1636" s="357" t="s">
        <v>135</v>
      </c>
      <c r="P1636" s="325"/>
      <c r="Q1636" s="325"/>
      <c r="R1636" s="325">
        <v>14</v>
      </c>
    </row>
    <row r="1637" spans="1:18" ht="36">
      <c r="A1637" s="321">
        <v>64.959999999999994</v>
      </c>
      <c r="B1637" s="314" t="s">
        <v>2874</v>
      </c>
      <c r="C1637" s="322" t="s">
        <v>2875</v>
      </c>
      <c r="D1637" s="323">
        <v>20.23</v>
      </c>
      <c r="E1637" s="323">
        <v>20.23</v>
      </c>
      <c r="F1637" s="323"/>
      <c r="G1637" s="323"/>
      <c r="H1637" s="324">
        <v>263.97000000000003</v>
      </c>
      <c r="I1637" s="324">
        <v>263.97000000000003</v>
      </c>
      <c r="J1637" s="324"/>
      <c r="K1637" s="324"/>
      <c r="L1637" s="357">
        <v>13.048442906574396</v>
      </c>
      <c r="M1637" s="357">
        <v>13.05</v>
      </c>
      <c r="N1637" s="357" t="s">
        <v>135</v>
      </c>
      <c r="O1637" s="357" t="s">
        <v>135</v>
      </c>
      <c r="P1637" s="325"/>
      <c r="Q1637" s="325"/>
      <c r="R1637" s="325">
        <v>14</v>
      </c>
    </row>
    <row r="1638" spans="1:18" ht="36">
      <c r="A1638" s="321">
        <v>64.97</v>
      </c>
      <c r="B1638" s="314" t="s">
        <v>2876</v>
      </c>
      <c r="C1638" s="322" t="s">
        <v>2877</v>
      </c>
      <c r="D1638" s="323">
        <v>27.14</v>
      </c>
      <c r="E1638" s="323">
        <v>27.14</v>
      </c>
      <c r="F1638" s="323"/>
      <c r="G1638" s="323"/>
      <c r="H1638" s="324">
        <v>354.21</v>
      </c>
      <c r="I1638" s="324">
        <v>354.21</v>
      </c>
      <c r="J1638" s="324"/>
      <c r="K1638" s="324"/>
      <c r="L1638" s="357">
        <v>13.051215917464996</v>
      </c>
      <c r="M1638" s="357">
        <v>13.05</v>
      </c>
      <c r="N1638" s="357" t="s">
        <v>135</v>
      </c>
      <c r="O1638" s="357" t="s">
        <v>135</v>
      </c>
      <c r="P1638" s="325"/>
      <c r="Q1638" s="325"/>
      <c r="R1638" s="325">
        <v>14</v>
      </c>
    </row>
    <row r="1639" spans="1:18" ht="24">
      <c r="A1639" s="326">
        <v>64.98</v>
      </c>
      <c r="B1639" s="327" t="s">
        <v>2878</v>
      </c>
      <c r="C1639" s="328" t="s">
        <v>2879</v>
      </c>
      <c r="D1639" s="329">
        <v>26.39</v>
      </c>
      <c r="E1639" s="329">
        <v>26.39</v>
      </c>
      <c r="F1639" s="329"/>
      <c r="G1639" s="329"/>
      <c r="H1639" s="330">
        <v>344.42</v>
      </c>
      <c r="I1639" s="330">
        <v>344.42</v>
      </c>
      <c r="J1639" s="330"/>
      <c r="K1639" s="330"/>
      <c r="L1639" s="356">
        <v>13.051155740810913</v>
      </c>
      <c r="M1639" s="356">
        <v>13.05</v>
      </c>
      <c r="N1639" s="356" t="s">
        <v>135</v>
      </c>
      <c r="O1639" s="356" t="s">
        <v>135</v>
      </c>
      <c r="P1639" s="331"/>
      <c r="Q1639" s="331"/>
      <c r="R1639" s="331">
        <v>14</v>
      </c>
    </row>
    <row r="1640" spans="1:18" ht="12.75">
      <c r="A1640" s="428" t="s">
        <v>2880</v>
      </c>
      <c r="B1640" s="429"/>
      <c r="C1640" s="429"/>
      <c r="D1640" s="429"/>
      <c r="E1640" s="429"/>
      <c r="F1640" s="429"/>
      <c r="G1640" s="429"/>
      <c r="H1640" s="429"/>
      <c r="I1640" s="429"/>
      <c r="J1640" s="429"/>
      <c r="K1640" s="429"/>
      <c r="L1640" s="429"/>
      <c r="M1640" s="429"/>
      <c r="N1640" s="429"/>
      <c r="O1640" s="429"/>
      <c r="P1640" s="429"/>
      <c r="Q1640" s="429"/>
      <c r="R1640" s="429"/>
    </row>
    <row r="1641" spans="1:18" ht="24">
      <c r="A1641" s="321">
        <v>64.989999999999995</v>
      </c>
      <c r="B1641" s="314" t="s">
        <v>2881</v>
      </c>
      <c r="C1641" s="322" t="s">
        <v>2882</v>
      </c>
      <c r="D1641" s="323">
        <v>370.54</v>
      </c>
      <c r="E1641" s="323">
        <v>60.53</v>
      </c>
      <c r="F1641" s="323">
        <v>5.49</v>
      </c>
      <c r="G1641" s="323">
        <v>304.52</v>
      </c>
      <c r="H1641" s="324">
        <v>3498.11</v>
      </c>
      <c r="I1641" s="324">
        <v>789.9</v>
      </c>
      <c r="J1641" s="324">
        <v>41.69</v>
      </c>
      <c r="K1641" s="324">
        <v>2666.52</v>
      </c>
      <c r="L1641" s="357">
        <v>9.440573217466401</v>
      </c>
      <c r="M1641" s="357">
        <v>13.05</v>
      </c>
      <c r="N1641" s="357">
        <v>7.5938069216757738</v>
      </c>
      <c r="O1641" s="357">
        <v>8.7564691974254565</v>
      </c>
      <c r="P1641" s="325"/>
      <c r="Q1641" s="325"/>
      <c r="R1641" s="325">
        <v>15</v>
      </c>
    </row>
    <row r="1642" spans="1:18" ht="24">
      <c r="A1642" s="321">
        <v>64.099999999999994</v>
      </c>
      <c r="B1642" s="314" t="s">
        <v>2883</v>
      </c>
      <c r="C1642" s="322" t="s">
        <v>2884</v>
      </c>
      <c r="D1642" s="323">
        <v>236.32</v>
      </c>
      <c r="E1642" s="323">
        <v>42.08</v>
      </c>
      <c r="F1642" s="323">
        <v>2.93</v>
      </c>
      <c r="G1642" s="323">
        <v>191.31</v>
      </c>
      <c r="H1642" s="324">
        <v>3004.21</v>
      </c>
      <c r="I1642" s="324">
        <v>549.21</v>
      </c>
      <c r="J1642" s="324">
        <v>22.23</v>
      </c>
      <c r="K1642" s="324">
        <v>2432.77</v>
      </c>
      <c r="L1642" s="357">
        <v>12.71246614759648</v>
      </c>
      <c r="M1642" s="357">
        <v>13.05</v>
      </c>
      <c r="N1642" s="357">
        <v>7.5870307167235493</v>
      </c>
      <c r="O1642" s="357">
        <v>12.716376561601589</v>
      </c>
      <c r="P1642" s="325"/>
      <c r="Q1642" s="325"/>
      <c r="R1642" s="325">
        <v>15</v>
      </c>
    </row>
    <row r="1643" spans="1:18" ht="24">
      <c r="A1643" s="321">
        <v>64.100999999999999</v>
      </c>
      <c r="B1643" s="314" t="s">
        <v>2885</v>
      </c>
      <c r="C1643" s="322" t="s">
        <v>2886</v>
      </c>
      <c r="D1643" s="323">
        <v>4.4800000000000004</v>
      </c>
      <c r="E1643" s="323">
        <v>4.4800000000000004</v>
      </c>
      <c r="F1643" s="323"/>
      <c r="G1643" s="323"/>
      <c r="H1643" s="324">
        <v>58.51</v>
      </c>
      <c r="I1643" s="324">
        <v>58.51</v>
      </c>
      <c r="J1643" s="324"/>
      <c r="K1643" s="324"/>
      <c r="L1643" s="357">
        <v>13.060267857142856</v>
      </c>
      <c r="M1643" s="357">
        <v>13.05</v>
      </c>
      <c r="N1643" s="357" t="s">
        <v>135</v>
      </c>
      <c r="O1643" s="357" t="s">
        <v>135</v>
      </c>
      <c r="P1643" s="325"/>
      <c r="Q1643" s="325"/>
      <c r="R1643" s="325">
        <v>15</v>
      </c>
    </row>
    <row r="1644" spans="1:18" ht="24">
      <c r="A1644" s="321">
        <v>64.102000000000004</v>
      </c>
      <c r="B1644" s="314" t="s">
        <v>2887</v>
      </c>
      <c r="C1644" s="322" t="s">
        <v>2888</v>
      </c>
      <c r="D1644" s="323">
        <v>15.9</v>
      </c>
      <c r="E1644" s="323">
        <v>15.9</v>
      </c>
      <c r="F1644" s="323"/>
      <c r="G1644" s="323"/>
      <c r="H1644" s="324">
        <v>207.45</v>
      </c>
      <c r="I1644" s="324">
        <v>207.45</v>
      </c>
      <c r="J1644" s="324"/>
      <c r="K1644" s="324"/>
      <c r="L1644" s="357">
        <v>13.047169811320753</v>
      </c>
      <c r="M1644" s="357">
        <v>13.05</v>
      </c>
      <c r="N1644" s="357" t="s">
        <v>135</v>
      </c>
      <c r="O1644" s="357" t="s">
        <v>135</v>
      </c>
      <c r="P1644" s="325"/>
      <c r="Q1644" s="325"/>
      <c r="R1644" s="325">
        <v>15</v>
      </c>
    </row>
    <row r="1645" spans="1:18" ht="36">
      <c r="A1645" s="321">
        <v>64.102999999999994</v>
      </c>
      <c r="B1645" s="314" t="s">
        <v>2889</v>
      </c>
      <c r="C1645" s="322" t="s">
        <v>2890</v>
      </c>
      <c r="D1645" s="323">
        <v>37.729999999999997</v>
      </c>
      <c r="E1645" s="323">
        <v>37.36</v>
      </c>
      <c r="F1645" s="323">
        <v>0.37</v>
      </c>
      <c r="G1645" s="323"/>
      <c r="H1645" s="324">
        <v>490.32</v>
      </c>
      <c r="I1645" s="324">
        <v>487.54</v>
      </c>
      <c r="J1645" s="324">
        <v>2.78</v>
      </c>
      <c r="K1645" s="324"/>
      <c r="L1645" s="357">
        <v>12.995494301616752</v>
      </c>
      <c r="M1645" s="357">
        <v>13.05</v>
      </c>
      <c r="N1645" s="357">
        <v>7.5135135135135132</v>
      </c>
      <c r="O1645" s="357" t="s">
        <v>135</v>
      </c>
      <c r="P1645" s="325"/>
      <c r="Q1645" s="325"/>
      <c r="R1645" s="325">
        <v>15</v>
      </c>
    </row>
    <row r="1646" spans="1:18" ht="36">
      <c r="A1646" s="321">
        <v>64.103999999999999</v>
      </c>
      <c r="B1646" s="314" t="s">
        <v>2891</v>
      </c>
      <c r="C1646" s="322" t="s">
        <v>2892</v>
      </c>
      <c r="D1646" s="323">
        <v>49.18</v>
      </c>
      <c r="E1646" s="323">
        <v>48.81</v>
      </c>
      <c r="F1646" s="323">
        <v>0.37</v>
      </c>
      <c r="G1646" s="323"/>
      <c r="H1646" s="324">
        <v>639.82000000000005</v>
      </c>
      <c r="I1646" s="324">
        <v>637.04</v>
      </c>
      <c r="J1646" s="324">
        <v>2.78</v>
      </c>
      <c r="K1646" s="324"/>
      <c r="L1646" s="357">
        <v>13.009760065067102</v>
      </c>
      <c r="M1646" s="357">
        <v>13.05</v>
      </c>
      <c r="N1646" s="357">
        <v>7.5135135135135132</v>
      </c>
      <c r="O1646" s="357" t="s">
        <v>135</v>
      </c>
      <c r="P1646" s="325"/>
      <c r="Q1646" s="325"/>
      <c r="R1646" s="325">
        <v>15</v>
      </c>
    </row>
    <row r="1647" spans="1:18" ht="24">
      <c r="A1647" s="326">
        <v>64.105000000000004</v>
      </c>
      <c r="B1647" s="327" t="s">
        <v>2893</v>
      </c>
      <c r="C1647" s="328" t="s">
        <v>2894</v>
      </c>
      <c r="D1647" s="329">
        <v>50.91</v>
      </c>
      <c r="E1647" s="329">
        <v>48.71</v>
      </c>
      <c r="F1647" s="329">
        <v>2.2000000000000002</v>
      </c>
      <c r="G1647" s="329"/>
      <c r="H1647" s="330">
        <v>652.30999999999995</v>
      </c>
      <c r="I1647" s="330">
        <v>635.64</v>
      </c>
      <c r="J1647" s="330">
        <v>16.670000000000002</v>
      </c>
      <c r="K1647" s="330"/>
      <c r="L1647" s="356">
        <v>12.813003339226086</v>
      </c>
      <c r="M1647" s="356">
        <v>13.05</v>
      </c>
      <c r="N1647" s="356">
        <v>7.5772727272727272</v>
      </c>
      <c r="O1647" s="356" t="s">
        <v>135</v>
      </c>
      <c r="P1647" s="331"/>
      <c r="Q1647" s="331"/>
      <c r="R1647" s="331">
        <v>15</v>
      </c>
    </row>
    <row r="1648" spans="1:18" ht="12.75">
      <c r="A1648" s="428" t="s">
        <v>2895</v>
      </c>
      <c r="B1648" s="429"/>
      <c r="C1648" s="429"/>
      <c r="D1648" s="429"/>
      <c r="E1648" s="429"/>
      <c r="F1648" s="429"/>
      <c r="G1648" s="429"/>
      <c r="H1648" s="429"/>
      <c r="I1648" s="429"/>
      <c r="J1648" s="429"/>
      <c r="K1648" s="429"/>
      <c r="L1648" s="429"/>
      <c r="M1648" s="429"/>
      <c r="N1648" s="429"/>
      <c r="O1648" s="429"/>
      <c r="P1648" s="429"/>
      <c r="Q1648" s="429"/>
      <c r="R1648" s="429"/>
    </row>
    <row r="1649" spans="1:18" ht="24">
      <c r="A1649" s="321">
        <v>64.105999999999995</v>
      </c>
      <c r="B1649" s="314" t="s">
        <v>2896</v>
      </c>
      <c r="C1649" s="322" t="s">
        <v>2897</v>
      </c>
      <c r="D1649" s="323">
        <v>210.49</v>
      </c>
      <c r="E1649" s="323">
        <v>56.53</v>
      </c>
      <c r="F1649" s="323">
        <v>2.93</v>
      </c>
      <c r="G1649" s="323">
        <v>151.03</v>
      </c>
      <c r="H1649" s="324">
        <v>2966.84</v>
      </c>
      <c r="I1649" s="324">
        <v>737.76</v>
      </c>
      <c r="J1649" s="324">
        <v>22.23</v>
      </c>
      <c r="K1649" s="324">
        <v>2206.85</v>
      </c>
      <c r="L1649" s="357">
        <v>14.094921373937003</v>
      </c>
      <c r="M1649" s="357">
        <v>13.05</v>
      </c>
      <c r="N1649" s="357">
        <v>7.5870307167235493</v>
      </c>
      <c r="O1649" s="357">
        <v>14.611997616367608</v>
      </c>
      <c r="P1649" s="325"/>
      <c r="Q1649" s="325"/>
      <c r="R1649" s="325">
        <v>16</v>
      </c>
    </row>
    <row r="1650" spans="1:18" ht="24">
      <c r="A1650" s="321">
        <v>64.106999999999999</v>
      </c>
      <c r="B1650" s="314" t="s">
        <v>2898</v>
      </c>
      <c r="C1650" s="322" t="s">
        <v>2899</v>
      </c>
      <c r="D1650" s="323">
        <v>131.16999999999999</v>
      </c>
      <c r="E1650" s="323">
        <v>40.65</v>
      </c>
      <c r="F1650" s="323">
        <v>1.46</v>
      </c>
      <c r="G1650" s="323">
        <v>89.06</v>
      </c>
      <c r="H1650" s="324">
        <v>1843.9</v>
      </c>
      <c r="I1650" s="324">
        <v>530.48</v>
      </c>
      <c r="J1650" s="324">
        <v>11.12</v>
      </c>
      <c r="K1650" s="324">
        <v>1302.3</v>
      </c>
      <c r="L1650" s="357">
        <v>14.057330182206298</v>
      </c>
      <c r="M1650" s="357">
        <v>13.05</v>
      </c>
      <c r="N1650" s="357">
        <v>7.6164383561643829</v>
      </c>
      <c r="O1650" s="357">
        <v>14.622726251964966</v>
      </c>
      <c r="P1650" s="325"/>
      <c r="Q1650" s="325"/>
      <c r="R1650" s="325">
        <v>16</v>
      </c>
    </row>
    <row r="1651" spans="1:18" ht="24">
      <c r="A1651" s="321">
        <v>64.108000000000004</v>
      </c>
      <c r="B1651" s="314" t="s">
        <v>2900</v>
      </c>
      <c r="C1651" s="322" t="s">
        <v>2901</v>
      </c>
      <c r="D1651" s="323">
        <v>2.5499999999999998</v>
      </c>
      <c r="E1651" s="323">
        <v>2.5499999999999998</v>
      </c>
      <c r="F1651" s="323"/>
      <c r="G1651" s="323"/>
      <c r="H1651" s="324">
        <v>33.25</v>
      </c>
      <c r="I1651" s="324">
        <v>33.25</v>
      </c>
      <c r="J1651" s="324"/>
      <c r="K1651" s="324"/>
      <c r="L1651" s="357">
        <v>13.039215686274511</v>
      </c>
      <c r="M1651" s="357">
        <v>13.05</v>
      </c>
      <c r="N1651" s="357" t="s">
        <v>135</v>
      </c>
      <c r="O1651" s="357" t="s">
        <v>135</v>
      </c>
      <c r="P1651" s="325"/>
      <c r="Q1651" s="325"/>
      <c r="R1651" s="325">
        <v>16</v>
      </c>
    </row>
    <row r="1652" spans="1:18" ht="24">
      <c r="A1652" s="321">
        <v>64.108999999999995</v>
      </c>
      <c r="B1652" s="314" t="s">
        <v>2902</v>
      </c>
      <c r="C1652" s="322" t="s">
        <v>2903</v>
      </c>
      <c r="D1652" s="323">
        <v>10.29</v>
      </c>
      <c r="E1652" s="323">
        <v>10.29</v>
      </c>
      <c r="F1652" s="323"/>
      <c r="G1652" s="323"/>
      <c r="H1652" s="324">
        <v>134.31</v>
      </c>
      <c r="I1652" s="324">
        <v>134.31</v>
      </c>
      <c r="J1652" s="324"/>
      <c r="K1652" s="324"/>
      <c r="L1652" s="357">
        <v>13.052478134110789</v>
      </c>
      <c r="M1652" s="357">
        <v>13.05</v>
      </c>
      <c r="N1652" s="357" t="s">
        <v>135</v>
      </c>
      <c r="O1652" s="357" t="s">
        <v>135</v>
      </c>
      <c r="P1652" s="325"/>
      <c r="Q1652" s="325"/>
      <c r="R1652" s="325">
        <v>16</v>
      </c>
    </row>
    <row r="1653" spans="1:18" ht="36">
      <c r="A1653" s="321">
        <v>64.11</v>
      </c>
      <c r="B1653" s="314" t="s">
        <v>2904</v>
      </c>
      <c r="C1653" s="322" t="s">
        <v>2905</v>
      </c>
      <c r="D1653" s="323">
        <v>18.16</v>
      </c>
      <c r="E1653" s="323">
        <v>18.16</v>
      </c>
      <c r="F1653" s="323"/>
      <c r="G1653" s="323"/>
      <c r="H1653" s="324">
        <v>237.04</v>
      </c>
      <c r="I1653" s="324">
        <v>237.04</v>
      </c>
      <c r="J1653" s="324"/>
      <c r="K1653" s="324"/>
      <c r="L1653" s="357">
        <v>13.052863436123348</v>
      </c>
      <c r="M1653" s="357">
        <v>13.05</v>
      </c>
      <c r="N1653" s="357" t="s">
        <v>135</v>
      </c>
      <c r="O1653" s="357" t="s">
        <v>135</v>
      </c>
      <c r="P1653" s="325"/>
      <c r="Q1653" s="325"/>
      <c r="R1653" s="325">
        <v>16</v>
      </c>
    </row>
    <row r="1654" spans="1:18" ht="36">
      <c r="A1654" s="321">
        <v>64.111000000000004</v>
      </c>
      <c r="B1654" s="314" t="s">
        <v>2906</v>
      </c>
      <c r="C1654" s="322" t="s">
        <v>2907</v>
      </c>
      <c r="D1654" s="323">
        <v>25.9</v>
      </c>
      <c r="E1654" s="323">
        <v>25.9</v>
      </c>
      <c r="F1654" s="323"/>
      <c r="G1654" s="323"/>
      <c r="H1654" s="324">
        <v>338.05</v>
      </c>
      <c r="I1654" s="324">
        <v>338.05</v>
      </c>
      <c r="J1654" s="324"/>
      <c r="K1654" s="324"/>
      <c r="L1654" s="357">
        <v>13.052123552123554</v>
      </c>
      <c r="M1654" s="357">
        <v>13.05</v>
      </c>
      <c r="N1654" s="357" t="s">
        <v>135</v>
      </c>
      <c r="O1654" s="357" t="s">
        <v>135</v>
      </c>
      <c r="P1654" s="325"/>
      <c r="Q1654" s="325"/>
      <c r="R1654" s="325">
        <v>16</v>
      </c>
    </row>
    <row r="1655" spans="1:18" ht="24">
      <c r="A1655" s="326">
        <v>64.111999999999995</v>
      </c>
      <c r="B1655" s="327" t="s">
        <v>2908</v>
      </c>
      <c r="C1655" s="328" t="s">
        <v>2909</v>
      </c>
      <c r="D1655" s="329">
        <v>25.86</v>
      </c>
      <c r="E1655" s="329">
        <v>24.76</v>
      </c>
      <c r="F1655" s="329">
        <v>1.1000000000000001</v>
      </c>
      <c r="G1655" s="329"/>
      <c r="H1655" s="330">
        <v>331.48</v>
      </c>
      <c r="I1655" s="330">
        <v>323.14</v>
      </c>
      <c r="J1655" s="330">
        <v>8.34</v>
      </c>
      <c r="K1655" s="330"/>
      <c r="L1655" s="356">
        <v>12.818252126836814</v>
      </c>
      <c r="M1655" s="356">
        <v>13.05</v>
      </c>
      <c r="N1655" s="356">
        <v>7.5818181818181811</v>
      </c>
      <c r="O1655" s="356" t="s">
        <v>135</v>
      </c>
      <c r="P1655" s="331"/>
      <c r="Q1655" s="331"/>
      <c r="R1655" s="331">
        <v>16</v>
      </c>
    </row>
    <row r="1656" spans="1:18" ht="12.75">
      <c r="A1656" s="428" t="s">
        <v>2910</v>
      </c>
      <c r="B1656" s="429"/>
      <c r="C1656" s="429"/>
      <c r="D1656" s="429"/>
      <c r="E1656" s="429"/>
      <c r="F1656" s="429"/>
      <c r="G1656" s="429"/>
      <c r="H1656" s="429"/>
      <c r="I1656" s="429"/>
      <c r="J1656" s="429"/>
      <c r="K1656" s="429"/>
      <c r="L1656" s="429"/>
      <c r="M1656" s="429"/>
      <c r="N1656" s="429"/>
      <c r="O1656" s="429"/>
      <c r="P1656" s="429"/>
      <c r="Q1656" s="429"/>
      <c r="R1656" s="429"/>
    </row>
    <row r="1657" spans="1:18" ht="24">
      <c r="A1657" s="321">
        <v>64.113</v>
      </c>
      <c r="B1657" s="314" t="s">
        <v>2911</v>
      </c>
      <c r="C1657" s="322" t="s">
        <v>2912</v>
      </c>
      <c r="D1657" s="323">
        <v>504.13</v>
      </c>
      <c r="E1657" s="323">
        <v>92.38</v>
      </c>
      <c r="F1657" s="323">
        <v>5.13</v>
      </c>
      <c r="G1657" s="323">
        <v>406.62</v>
      </c>
      <c r="H1657" s="324">
        <v>7222.11</v>
      </c>
      <c r="I1657" s="324">
        <v>1205.51</v>
      </c>
      <c r="J1657" s="324">
        <v>38.909999999999997</v>
      </c>
      <c r="K1657" s="324">
        <v>5977.69</v>
      </c>
      <c r="L1657" s="357">
        <v>14.325888163767281</v>
      </c>
      <c r="M1657" s="357">
        <v>13.05</v>
      </c>
      <c r="N1657" s="357">
        <v>7.5847953216374266</v>
      </c>
      <c r="O1657" s="357">
        <v>14.700924696276621</v>
      </c>
      <c r="P1657" s="325"/>
      <c r="Q1657" s="325"/>
      <c r="R1657" s="325">
        <v>17</v>
      </c>
    </row>
    <row r="1658" spans="1:18" ht="24">
      <c r="A1658" s="321">
        <v>64.114000000000004</v>
      </c>
      <c r="B1658" s="314" t="s">
        <v>2913</v>
      </c>
      <c r="C1658" s="322" t="s">
        <v>2914</v>
      </c>
      <c r="D1658" s="323">
        <v>316.52999999999997</v>
      </c>
      <c r="E1658" s="323">
        <v>65.73</v>
      </c>
      <c r="F1658" s="323">
        <v>2.93</v>
      </c>
      <c r="G1658" s="323">
        <v>247.87</v>
      </c>
      <c r="H1658" s="324">
        <v>4524.3100000000004</v>
      </c>
      <c r="I1658" s="324">
        <v>857.77</v>
      </c>
      <c r="J1658" s="324">
        <v>22.23</v>
      </c>
      <c r="K1658" s="324">
        <v>3644.31</v>
      </c>
      <c r="L1658" s="357">
        <v>14.29346349477143</v>
      </c>
      <c r="M1658" s="357">
        <v>13.05</v>
      </c>
      <c r="N1658" s="357">
        <v>7.5870307167235493</v>
      </c>
      <c r="O1658" s="357">
        <v>14.702505345544035</v>
      </c>
      <c r="P1658" s="325"/>
      <c r="Q1658" s="325"/>
      <c r="R1658" s="325">
        <v>17</v>
      </c>
    </row>
    <row r="1659" spans="1:18" ht="24">
      <c r="A1659" s="321">
        <v>64.114999999999995</v>
      </c>
      <c r="B1659" s="314" t="s">
        <v>2915</v>
      </c>
      <c r="C1659" s="322" t="s">
        <v>2916</v>
      </c>
      <c r="D1659" s="323">
        <v>4.4800000000000004</v>
      </c>
      <c r="E1659" s="323">
        <v>4.4800000000000004</v>
      </c>
      <c r="F1659" s="323"/>
      <c r="G1659" s="323"/>
      <c r="H1659" s="324">
        <v>58.51</v>
      </c>
      <c r="I1659" s="324">
        <v>58.51</v>
      </c>
      <c r="J1659" s="324"/>
      <c r="K1659" s="324"/>
      <c r="L1659" s="357">
        <v>13.060267857142856</v>
      </c>
      <c r="M1659" s="357">
        <v>13.05</v>
      </c>
      <c r="N1659" s="357" t="s">
        <v>135</v>
      </c>
      <c r="O1659" s="357" t="s">
        <v>135</v>
      </c>
      <c r="P1659" s="325"/>
      <c r="Q1659" s="325"/>
      <c r="R1659" s="325">
        <v>17</v>
      </c>
    </row>
    <row r="1660" spans="1:18" ht="24">
      <c r="A1660" s="321">
        <v>64.116</v>
      </c>
      <c r="B1660" s="314" t="s">
        <v>2917</v>
      </c>
      <c r="C1660" s="322" t="s">
        <v>2918</v>
      </c>
      <c r="D1660" s="323">
        <v>17.93</v>
      </c>
      <c r="E1660" s="323">
        <v>17.93</v>
      </c>
      <c r="F1660" s="323"/>
      <c r="G1660" s="323"/>
      <c r="H1660" s="324">
        <v>234.04</v>
      </c>
      <c r="I1660" s="324">
        <v>234.04</v>
      </c>
      <c r="J1660" s="324"/>
      <c r="K1660" s="324"/>
      <c r="L1660" s="357">
        <v>13.05298382598996</v>
      </c>
      <c r="M1660" s="357">
        <v>13.05</v>
      </c>
      <c r="N1660" s="357" t="s">
        <v>135</v>
      </c>
      <c r="O1660" s="357" t="s">
        <v>135</v>
      </c>
      <c r="P1660" s="325"/>
      <c r="Q1660" s="325"/>
      <c r="R1660" s="325">
        <v>17</v>
      </c>
    </row>
    <row r="1661" spans="1:18" ht="36">
      <c r="A1661" s="321">
        <v>64.117000000000004</v>
      </c>
      <c r="B1661" s="314" t="s">
        <v>2919</v>
      </c>
      <c r="C1661" s="322" t="s">
        <v>2920</v>
      </c>
      <c r="D1661" s="323">
        <v>32.1</v>
      </c>
      <c r="E1661" s="323">
        <v>32.1</v>
      </c>
      <c r="F1661" s="323"/>
      <c r="G1661" s="323"/>
      <c r="H1661" s="324">
        <v>418.85</v>
      </c>
      <c r="I1661" s="324">
        <v>418.85</v>
      </c>
      <c r="J1661" s="324"/>
      <c r="K1661" s="324"/>
      <c r="L1661" s="357">
        <v>13.048286604361371</v>
      </c>
      <c r="M1661" s="357">
        <v>13.05</v>
      </c>
      <c r="N1661" s="357" t="s">
        <v>135</v>
      </c>
      <c r="O1661" s="357" t="s">
        <v>135</v>
      </c>
      <c r="P1661" s="325"/>
      <c r="Q1661" s="325"/>
      <c r="R1661" s="325">
        <v>17</v>
      </c>
    </row>
    <row r="1662" spans="1:18" ht="36">
      <c r="A1662" s="321">
        <v>64.117999999999995</v>
      </c>
      <c r="B1662" s="314" t="s">
        <v>2921</v>
      </c>
      <c r="C1662" s="322" t="s">
        <v>2922</v>
      </c>
      <c r="D1662" s="323">
        <v>45.61</v>
      </c>
      <c r="E1662" s="323">
        <v>45.61</v>
      </c>
      <c r="F1662" s="323"/>
      <c r="G1662" s="323"/>
      <c r="H1662" s="324">
        <v>595.29</v>
      </c>
      <c r="I1662" s="324">
        <v>595.29</v>
      </c>
      <c r="J1662" s="324"/>
      <c r="K1662" s="324"/>
      <c r="L1662" s="357">
        <v>13.051743038807279</v>
      </c>
      <c r="M1662" s="357">
        <v>13.05</v>
      </c>
      <c r="N1662" s="357" t="s">
        <v>135</v>
      </c>
      <c r="O1662" s="357" t="s">
        <v>135</v>
      </c>
      <c r="P1662" s="325"/>
      <c r="Q1662" s="325"/>
      <c r="R1662" s="325">
        <v>17</v>
      </c>
    </row>
    <row r="1663" spans="1:18" ht="24">
      <c r="A1663" s="326">
        <v>64.119</v>
      </c>
      <c r="B1663" s="327" t="s">
        <v>2923</v>
      </c>
      <c r="C1663" s="328" t="s">
        <v>2924</v>
      </c>
      <c r="D1663" s="329">
        <v>44.49</v>
      </c>
      <c r="E1663" s="329">
        <v>42.29</v>
      </c>
      <c r="F1663" s="329">
        <v>2.2000000000000002</v>
      </c>
      <c r="G1663" s="329"/>
      <c r="H1663" s="330">
        <v>568.54</v>
      </c>
      <c r="I1663" s="330">
        <v>551.87</v>
      </c>
      <c r="J1663" s="330">
        <v>16.670000000000002</v>
      </c>
      <c r="K1663" s="330"/>
      <c r="L1663" s="356">
        <v>12.779051472240951</v>
      </c>
      <c r="M1663" s="356">
        <v>13.05</v>
      </c>
      <c r="N1663" s="356">
        <v>7.5772727272727272</v>
      </c>
      <c r="O1663" s="356" t="s">
        <v>135</v>
      </c>
      <c r="P1663" s="331"/>
      <c r="Q1663" s="331"/>
      <c r="R1663" s="331">
        <v>17</v>
      </c>
    </row>
    <row r="1664" spans="1:18" ht="12.75">
      <c r="A1664" s="428" t="s">
        <v>2925</v>
      </c>
      <c r="B1664" s="429"/>
      <c r="C1664" s="429"/>
      <c r="D1664" s="429"/>
      <c r="E1664" s="429"/>
      <c r="F1664" s="429"/>
      <c r="G1664" s="429"/>
      <c r="H1664" s="429"/>
      <c r="I1664" s="429"/>
      <c r="J1664" s="429"/>
      <c r="K1664" s="429"/>
      <c r="L1664" s="429"/>
      <c r="M1664" s="429"/>
      <c r="N1664" s="429"/>
      <c r="O1664" s="429"/>
      <c r="P1664" s="429"/>
      <c r="Q1664" s="429"/>
      <c r="R1664" s="429"/>
    </row>
    <row r="1665" spans="1:18" ht="24">
      <c r="A1665" s="321">
        <v>64.12</v>
      </c>
      <c r="B1665" s="314" t="s">
        <v>2926</v>
      </c>
      <c r="C1665" s="322" t="s">
        <v>2927</v>
      </c>
      <c r="D1665" s="323">
        <v>197.83</v>
      </c>
      <c r="E1665" s="323">
        <v>59.25</v>
      </c>
      <c r="F1665" s="323">
        <v>2.56</v>
      </c>
      <c r="G1665" s="323">
        <v>136.02000000000001</v>
      </c>
      <c r="H1665" s="324">
        <v>1784.38</v>
      </c>
      <c r="I1665" s="324">
        <v>773.22</v>
      </c>
      <c r="J1665" s="324">
        <v>19.45</v>
      </c>
      <c r="K1665" s="324">
        <v>991.71</v>
      </c>
      <c r="L1665" s="357">
        <v>9.0197644442197848</v>
      </c>
      <c r="M1665" s="357">
        <v>13.05</v>
      </c>
      <c r="N1665" s="357">
        <v>7.59765625</v>
      </c>
      <c r="O1665" s="357">
        <v>7.2909131010145565</v>
      </c>
      <c r="P1665" s="325"/>
      <c r="Q1665" s="325"/>
      <c r="R1665" s="325">
        <v>18</v>
      </c>
    </row>
    <row r="1666" spans="1:18" ht="24">
      <c r="A1666" s="321">
        <v>64.120999999999995</v>
      </c>
      <c r="B1666" s="314" t="s">
        <v>2928</v>
      </c>
      <c r="C1666" s="322" t="s">
        <v>2929</v>
      </c>
      <c r="D1666" s="323">
        <v>117.43</v>
      </c>
      <c r="E1666" s="323">
        <v>42.11</v>
      </c>
      <c r="F1666" s="323">
        <v>1.46</v>
      </c>
      <c r="G1666" s="323">
        <v>73.86</v>
      </c>
      <c r="H1666" s="324">
        <v>1023.8</v>
      </c>
      <c r="I1666" s="324">
        <v>549.57000000000005</v>
      </c>
      <c r="J1666" s="324">
        <v>11.12</v>
      </c>
      <c r="K1666" s="324">
        <v>463.11</v>
      </c>
      <c r="L1666" s="357">
        <v>8.7183854211019316</v>
      </c>
      <c r="M1666" s="357">
        <v>13.05</v>
      </c>
      <c r="N1666" s="357">
        <v>7.6164383561643829</v>
      </c>
      <c r="O1666" s="357">
        <v>6.2701056051990252</v>
      </c>
      <c r="P1666" s="325"/>
      <c r="Q1666" s="325"/>
      <c r="R1666" s="325">
        <v>18</v>
      </c>
    </row>
    <row r="1667" spans="1:18" ht="24">
      <c r="A1667" s="321">
        <v>64.122</v>
      </c>
      <c r="B1667" s="314" t="s">
        <v>2930</v>
      </c>
      <c r="C1667" s="322" t="s">
        <v>2931</v>
      </c>
      <c r="D1667" s="323">
        <v>2.58</v>
      </c>
      <c r="E1667" s="323">
        <v>2.58</v>
      </c>
      <c r="F1667" s="323"/>
      <c r="G1667" s="323"/>
      <c r="H1667" s="324">
        <v>33.67</v>
      </c>
      <c r="I1667" s="324">
        <v>33.67</v>
      </c>
      <c r="J1667" s="324"/>
      <c r="K1667" s="324"/>
      <c r="L1667" s="357">
        <v>13.050387596899226</v>
      </c>
      <c r="M1667" s="357">
        <v>13.05</v>
      </c>
      <c r="N1667" s="357" t="s">
        <v>135</v>
      </c>
      <c r="O1667" s="357" t="s">
        <v>135</v>
      </c>
      <c r="P1667" s="325"/>
      <c r="Q1667" s="325"/>
      <c r="R1667" s="325">
        <v>18</v>
      </c>
    </row>
    <row r="1668" spans="1:18" ht="24">
      <c r="A1668" s="321">
        <v>64.123000000000005</v>
      </c>
      <c r="B1668" s="314" t="s">
        <v>2932</v>
      </c>
      <c r="C1668" s="322" t="s">
        <v>2933</v>
      </c>
      <c r="D1668" s="323">
        <v>10.42</v>
      </c>
      <c r="E1668" s="323">
        <v>10.42</v>
      </c>
      <c r="F1668" s="323"/>
      <c r="G1668" s="323"/>
      <c r="H1668" s="324">
        <v>136.03</v>
      </c>
      <c r="I1668" s="324">
        <v>136.03</v>
      </c>
      <c r="J1668" s="324"/>
      <c r="K1668" s="324"/>
      <c r="L1668" s="357">
        <v>13.054702495201536</v>
      </c>
      <c r="M1668" s="357">
        <v>13.05</v>
      </c>
      <c r="N1668" s="357" t="s">
        <v>135</v>
      </c>
      <c r="O1668" s="357" t="s">
        <v>135</v>
      </c>
      <c r="P1668" s="325"/>
      <c r="Q1668" s="325"/>
      <c r="R1668" s="325">
        <v>18</v>
      </c>
    </row>
    <row r="1669" spans="1:18" ht="36">
      <c r="A1669" s="321">
        <v>64.123999999999995</v>
      </c>
      <c r="B1669" s="314" t="s">
        <v>2934</v>
      </c>
      <c r="C1669" s="322" t="s">
        <v>2935</v>
      </c>
      <c r="D1669" s="323">
        <v>24.76</v>
      </c>
      <c r="E1669" s="323">
        <v>24.76</v>
      </c>
      <c r="F1669" s="323"/>
      <c r="G1669" s="323"/>
      <c r="H1669" s="324">
        <v>323.08</v>
      </c>
      <c r="I1669" s="324">
        <v>323.08</v>
      </c>
      <c r="J1669" s="324"/>
      <c r="K1669" s="324"/>
      <c r="L1669" s="357">
        <v>13.048465266558965</v>
      </c>
      <c r="M1669" s="357">
        <v>13.05</v>
      </c>
      <c r="N1669" s="357" t="s">
        <v>135</v>
      </c>
      <c r="O1669" s="357" t="s">
        <v>135</v>
      </c>
      <c r="P1669" s="325"/>
      <c r="Q1669" s="325"/>
      <c r="R1669" s="325">
        <v>18</v>
      </c>
    </row>
    <row r="1670" spans="1:18" ht="36">
      <c r="A1670" s="321">
        <v>64.125</v>
      </c>
      <c r="B1670" s="314" t="s">
        <v>2936</v>
      </c>
      <c r="C1670" s="322" t="s">
        <v>2937</v>
      </c>
      <c r="D1670" s="323">
        <v>31.63</v>
      </c>
      <c r="E1670" s="323">
        <v>31.63</v>
      </c>
      <c r="F1670" s="323"/>
      <c r="G1670" s="323"/>
      <c r="H1670" s="324">
        <v>412.83</v>
      </c>
      <c r="I1670" s="324">
        <v>412.83</v>
      </c>
      <c r="J1670" s="324"/>
      <c r="K1670" s="324"/>
      <c r="L1670" s="357">
        <v>13.051849509958899</v>
      </c>
      <c r="M1670" s="357">
        <v>13.05</v>
      </c>
      <c r="N1670" s="357" t="s">
        <v>135</v>
      </c>
      <c r="O1670" s="357" t="s">
        <v>135</v>
      </c>
      <c r="P1670" s="325"/>
      <c r="Q1670" s="325"/>
      <c r="R1670" s="325">
        <v>18</v>
      </c>
    </row>
    <row r="1671" spans="1:18" ht="24">
      <c r="A1671" s="326">
        <v>64.126000000000005</v>
      </c>
      <c r="B1671" s="327" t="s">
        <v>2938</v>
      </c>
      <c r="C1671" s="328" t="s">
        <v>2939</v>
      </c>
      <c r="D1671" s="329">
        <v>32.549999999999997</v>
      </c>
      <c r="E1671" s="329">
        <v>31.45</v>
      </c>
      <c r="F1671" s="329">
        <v>1.1000000000000001</v>
      </c>
      <c r="G1671" s="329"/>
      <c r="H1671" s="330">
        <v>418.81</v>
      </c>
      <c r="I1671" s="330">
        <v>410.47</v>
      </c>
      <c r="J1671" s="330">
        <v>8.34</v>
      </c>
      <c r="K1671" s="330"/>
      <c r="L1671" s="356">
        <v>12.866666666666667</v>
      </c>
      <c r="M1671" s="356">
        <v>13.05</v>
      </c>
      <c r="N1671" s="356">
        <v>7.5818181818181811</v>
      </c>
      <c r="O1671" s="356" t="s">
        <v>135</v>
      </c>
      <c r="P1671" s="331"/>
      <c r="Q1671" s="331"/>
      <c r="R1671" s="331">
        <v>18</v>
      </c>
    </row>
    <row r="1672" spans="1:18" ht="12.75">
      <c r="A1672" s="428" t="s">
        <v>2940</v>
      </c>
      <c r="B1672" s="429"/>
      <c r="C1672" s="429"/>
      <c r="D1672" s="429"/>
      <c r="E1672" s="429"/>
      <c r="F1672" s="429"/>
      <c r="G1672" s="429"/>
      <c r="H1672" s="429"/>
      <c r="I1672" s="429"/>
      <c r="J1672" s="429"/>
      <c r="K1672" s="429"/>
      <c r="L1672" s="429"/>
      <c r="M1672" s="429"/>
      <c r="N1672" s="429"/>
      <c r="O1672" s="429"/>
      <c r="P1672" s="429"/>
      <c r="Q1672" s="429"/>
      <c r="R1672" s="429"/>
    </row>
    <row r="1673" spans="1:18" ht="24">
      <c r="A1673" s="321">
        <v>64.126999999999995</v>
      </c>
      <c r="B1673" s="314" t="s">
        <v>2941</v>
      </c>
      <c r="C1673" s="322" t="s">
        <v>2942</v>
      </c>
      <c r="D1673" s="323">
        <v>298.48</v>
      </c>
      <c r="E1673" s="323">
        <v>73.25</v>
      </c>
      <c r="F1673" s="323">
        <v>3.66</v>
      </c>
      <c r="G1673" s="323">
        <v>221.57</v>
      </c>
      <c r="H1673" s="324">
        <v>2604.36</v>
      </c>
      <c r="I1673" s="324">
        <v>955.95</v>
      </c>
      <c r="J1673" s="324">
        <v>27.79</v>
      </c>
      <c r="K1673" s="324">
        <v>1620.62</v>
      </c>
      <c r="L1673" s="357">
        <v>8.7254087376038587</v>
      </c>
      <c r="M1673" s="357">
        <v>13.05</v>
      </c>
      <c r="N1673" s="357">
        <v>7.5928961748633874</v>
      </c>
      <c r="O1673" s="357">
        <v>7.31425734530848</v>
      </c>
      <c r="P1673" s="325"/>
      <c r="Q1673" s="325"/>
      <c r="R1673" s="325">
        <v>19</v>
      </c>
    </row>
    <row r="1674" spans="1:18" ht="24">
      <c r="A1674" s="321">
        <v>64.128</v>
      </c>
      <c r="B1674" s="314" t="s">
        <v>2943</v>
      </c>
      <c r="C1674" s="322" t="s">
        <v>2944</v>
      </c>
      <c r="D1674" s="323">
        <v>187.08</v>
      </c>
      <c r="E1674" s="323">
        <v>52.35</v>
      </c>
      <c r="F1674" s="323">
        <v>2.56</v>
      </c>
      <c r="G1674" s="323">
        <v>132.16999999999999</v>
      </c>
      <c r="H1674" s="324">
        <v>1532.35</v>
      </c>
      <c r="I1674" s="324">
        <v>683.21</v>
      </c>
      <c r="J1674" s="324">
        <v>19.45</v>
      </c>
      <c r="K1674" s="324">
        <v>829.69</v>
      </c>
      <c r="L1674" s="357">
        <v>8.1908809065640362</v>
      </c>
      <c r="M1674" s="357">
        <v>13.05</v>
      </c>
      <c r="N1674" s="357">
        <v>7.59765625</v>
      </c>
      <c r="O1674" s="357">
        <v>6.2774457138533712</v>
      </c>
      <c r="P1674" s="325"/>
      <c r="Q1674" s="325"/>
      <c r="R1674" s="325">
        <v>19</v>
      </c>
    </row>
    <row r="1675" spans="1:18" ht="24">
      <c r="A1675" s="321">
        <v>64.129000000000005</v>
      </c>
      <c r="B1675" s="314" t="s">
        <v>2945</v>
      </c>
      <c r="C1675" s="322" t="s">
        <v>2946</v>
      </c>
      <c r="D1675" s="323">
        <v>3.82</v>
      </c>
      <c r="E1675" s="323">
        <v>3.82</v>
      </c>
      <c r="F1675" s="323"/>
      <c r="G1675" s="323"/>
      <c r="H1675" s="324">
        <v>49.83</v>
      </c>
      <c r="I1675" s="324">
        <v>49.83</v>
      </c>
      <c r="J1675" s="324"/>
      <c r="K1675" s="324"/>
      <c r="L1675" s="357">
        <v>13.044502617801047</v>
      </c>
      <c r="M1675" s="357">
        <v>13.05</v>
      </c>
      <c r="N1675" s="357" t="s">
        <v>135</v>
      </c>
      <c r="O1675" s="357" t="s">
        <v>135</v>
      </c>
      <c r="P1675" s="325"/>
      <c r="Q1675" s="325"/>
      <c r="R1675" s="325">
        <v>19</v>
      </c>
    </row>
    <row r="1676" spans="1:18" ht="24">
      <c r="A1676" s="321">
        <v>64.13</v>
      </c>
      <c r="B1676" s="314" t="s">
        <v>2947</v>
      </c>
      <c r="C1676" s="322" t="s">
        <v>2948</v>
      </c>
      <c r="D1676" s="323">
        <v>15.58</v>
      </c>
      <c r="E1676" s="323">
        <v>15.58</v>
      </c>
      <c r="F1676" s="323"/>
      <c r="G1676" s="323"/>
      <c r="H1676" s="324">
        <v>203.37</v>
      </c>
      <c r="I1676" s="324">
        <v>203.37</v>
      </c>
      <c r="J1676" s="324"/>
      <c r="K1676" s="324"/>
      <c r="L1676" s="357">
        <v>13.053273427471117</v>
      </c>
      <c r="M1676" s="357">
        <v>13.05</v>
      </c>
      <c r="N1676" s="357" t="s">
        <v>135</v>
      </c>
      <c r="O1676" s="357" t="s">
        <v>135</v>
      </c>
      <c r="P1676" s="325"/>
      <c r="Q1676" s="325"/>
      <c r="R1676" s="325">
        <v>19</v>
      </c>
    </row>
    <row r="1677" spans="1:18" ht="36">
      <c r="A1677" s="321">
        <v>64.131</v>
      </c>
      <c r="B1677" s="314" t="s">
        <v>2949</v>
      </c>
      <c r="C1677" s="322" t="s">
        <v>2950</v>
      </c>
      <c r="D1677" s="323">
        <v>40.31</v>
      </c>
      <c r="E1677" s="323">
        <v>40.31</v>
      </c>
      <c r="F1677" s="323"/>
      <c r="G1677" s="323"/>
      <c r="H1677" s="324">
        <v>526.04999999999995</v>
      </c>
      <c r="I1677" s="324">
        <v>526.04999999999995</v>
      </c>
      <c r="J1677" s="324"/>
      <c r="K1677" s="324"/>
      <c r="L1677" s="357">
        <v>13.050111634830065</v>
      </c>
      <c r="M1677" s="357">
        <v>13.05</v>
      </c>
      <c r="N1677" s="357" t="s">
        <v>135</v>
      </c>
      <c r="O1677" s="357" t="s">
        <v>135</v>
      </c>
      <c r="P1677" s="325"/>
      <c r="Q1677" s="325"/>
      <c r="R1677" s="325">
        <v>19</v>
      </c>
    </row>
    <row r="1678" spans="1:18" ht="36">
      <c r="A1678" s="321">
        <v>64.132000000000005</v>
      </c>
      <c r="B1678" s="314" t="s">
        <v>2951</v>
      </c>
      <c r="C1678" s="322" t="s">
        <v>2952</v>
      </c>
      <c r="D1678" s="323">
        <v>52.37</v>
      </c>
      <c r="E1678" s="323">
        <v>52.37</v>
      </c>
      <c r="F1678" s="323"/>
      <c r="G1678" s="323"/>
      <c r="H1678" s="324">
        <v>683.45</v>
      </c>
      <c r="I1678" s="324">
        <v>683.45</v>
      </c>
      <c r="J1678" s="324"/>
      <c r="K1678" s="324"/>
      <c r="L1678" s="357">
        <v>13.050410540385718</v>
      </c>
      <c r="M1678" s="357">
        <v>13.05</v>
      </c>
      <c r="N1678" s="357" t="s">
        <v>135</v>
      </c>
      <c r="O1678" s="357" t="s">
        <v>135</v>
      </c>
      <c r="P1678" s="325"/>
      <c r="Q1678" s="325"/>
      <c r="R1678" s="325">
        <v>19</v>
      </c>
    </row>
    <row r="1679" spans="1:18" ht="24">
      <c r="A1679" s="326">
        <v>64.132999999999996</v>
      </c>
      <c r="B1679" s="327" t="s">
        <v>2953</v>
      </c>
      <c r="C1679" s="328" t="s">
        <v>2954</v>
      </c>
      <c r="D1679" s="329">
        <v>52.41</v>
      </c>
      <c r="E1679" s="329">
        <v>50.58</v>
      </c>
      <c r="F1679" s="329">
        <v>1.83</v>
      </c>
      <c r="G1679" s="329"/>
      <c r="H1679" s="330">
        <v>673.93</v>
      </c>
      <c r="I1679" s="330">
        <v>660.03</v>
      </c>
      <c r="J1679" s="330">
        <v>13.9</v>
      </c>
      <c r="K1679" s="330"/>
      <c r="L1679" s="356">
        <v>12.858805571455829</v>
      </c>
      <c r="M1679" s="356">
        <v>13.05</v>
      </c>
      <c r="N1679" s="356">
        <v>7.5956284153005464</v>
      </c>
      <c r="O1679" s="356" t="s">
        <v>135</v>
      </c>
      <c r="P1679" s="331"/>
      <c r="Q1679" s="331"/>
      <c r="R1679" s="331">
        <v>19</v>
      </c>
    </row>
    <row r="1680" spans="1:18" ht="12.75">
      <c r="A1680" s="428" t="s">
        <v>2955</v>
      </c>
      <c r="B1680" s="429"/>
      <c r="C1680" s="429"/>
      <c r="D1680" s="429"/>
      <c r="E1680" s="429"/>
      <c r="F1680" s="429"/>
      <c r="G1680" s="429"/>
      <c r="H1680" s="429"/>
      <c r="I1680" s="429"/>
      <c r="J1680" s="429"/>
      <c r="K1680" s="429"/>
      <c r="L1680" s="429"/>
      <c r="M1680" s="429"/>
      <c r="N1680" s="429"/>
      <c r="O1680" s="429"/>
      <c r="P1680" s="429"/>
      <c r="Q1680" s="429"/>
      <c r="R1680" s="429"/>
    </row>
    <row r="1681" spans="1:18" ht="24">
      <c r="A1681" s="321">
        <v>64.134</v>
      </c>
      <c r="B1681" s="314" t="s">
        <v>2956</v>
      </c>
      <c r="C1681" s="322" t="s">
        <v>2957</v>
      </c>
      <c r="D1681" s="323">
        <v>230.07</v>
      </c>
      <c r="E1681" s="323">
        <v>103.3</v>
      </c>
      <c r="F1681" s="323">
        <v>1.83</v>
      </c>
      <c r="G1681" s="323">
        <v>124.94</v>
      </c>
      <c r="H1681" s="324">
        <v>1997.6</v>
      </c>
      <c r="I1681" s="324">
        <v>1348.15</v>
      </c>
      <c r="J1681" s="324">
        <v>13.9</v>
      </c>
      <c r="K1681" s="324">
        <v>635.54999999999995</v>
      </c>
      <c r="L1681" s="357">
        <v>8.6825748685182766</v>
      </c>
      <c r="M1681" s="357">
        <v>13.05</v>
      </c>
      <c r="N1681" s="357">
        <v>7.5956284153005464</v>
      </c>
      <c r="O1681" s="357">
        <v>5.0868416840083235</v>
      </c>
      <c r="P1681" s="325"/>
      <c r="Q1681" s="325"/>
      <c r="R1681" s="325">
        <v>20</v>
      </c>
    </row>
    <row r="1682" spans="1:18" ht="24">
      <c r="A1682" s="321">
        <v>64.135000000000005</v>
      </c>
      <c r="B1682" s="314" t="s">
        <v>2958</v>
      </c>
      <c r="C1682" s="322" t="s">
        <v>2959</v>
      </c>
      <c r="D1682" s="323">
        <v>159.44</v>
      </c>
      <c r="E1682" s="323">
        <v>84.52</v>
      </c>
      <c r="F1682" s="323">
        <v>0.73</v>
      </c>
      <c r="G1682" s="323">
        <v>74.19</v>
      </c>
      <c r="H1682" s="324">
        <v>1618.87</v>
      </c>
      <c r="I1682" s="324">
        <v>1103.03</v>
      </c>
      <c r="J1682" s="324">
        <v>5.56</v>
      </c>
      <c r="K1682" s="324">
        <v>510.28</v>
      </c>
      <c r="L1682" s="357">
        <v>10.153474661314601</v>
      </c>
      <c r="M1682" s="357">
        <v>13.05</v>
      </c>
      <c r="N1682" s="357">
        <v>7.6164383561643829</v>
      </c>
      <c r="O1682" s="357">
        <v>6.878015905108505</v>
      </c>
      <c r="P1682" s="325"/>
      <c r="Q1682" s="325"/>
      <c r="R1682" s="325">
        <v>20</v>
      </c>
    </row>
    <row r="1683" spans="1:18" ht="36">
      <c r="A1683" s="321">
        <v>64.135999999999996</v>
      </c>
      <c r="B1683" s="314" t="s">
        <v>2960</v>
      </c>
      <c r="C1683" s="322" t="s">
        <v>2961</v>
      </c>
      <c r="D1683" s="323">
        <v>2.96</v>
      </c>
      <c r="E1683" s="323">
        <v>2.96</v>
      </c>
      <c r="F1683" s="323"/>
      <c r="G1683" s="323"/>
      <c r="H1683" s="324">
        <v>38.659999999999997</v>
      </c>
      <c r="I1683" s="324">
        <v>38.659999999999997</v>
      </c>
      <c r="J1683" s="324"/>
      <c r="K1683" s="324"/>
      <c r="L1683" s="357">
        <v>13.060810810810811</v>
      </c>
      <c r="M1683" s="357">
        <v>13.05</v>
      </c>
      <c r="N1683" s="357" t="s">
        <v>135</v>
      </c>
      <c r="O1683" s="357" t="s">
        <v>135</v>
      </c>
      <c r="P1683" s="325"/>
      <c r="Q1683" s="325"/>
      <c r="R1683" s="325">
        <v>20</v>
      </c>
    </row>
    <row r="1684" spans="1:18" ht="36">
      <c r="A1684" s="321">
        <v>64.137</v>
      </c>
      <c r="B1684" s="314" t="s">
        <v>2962</v>
      </c>
      <c r="C1684" s="322" t="s">
        <v>2963</v>
      </c>
      <c r="D1684" s="323">
        <v>10.47</v>
      </c>
      <c r="E1684" s="323">
        <v>10.47</v>
      </c>
      <c r="F1684" s="323"/>
      <c r="G1684" s="323"/>
      <c r="H1684" s="324">
        <v>136.69</v>
      </c>
      <c r="I1684" s="324">
        <v>136.69</v>
      </c>
      <c r="J1684" s="324"/>
      <c r="K1684" s="324"/>
      <c r="L1684" s="357">
        <v>13.055396370582615</v>
      </c>
      <c r="M1684" s="357">
        <v>13.05</v>
      </c>
      <c r="N1684" s="357" t="s">
        <v>135</v>
      </c>
      <c r="O1684" s="357" t="s">
        <v>135</v>
      </c>
      <c r="P1684" s="325"/>
      <c r="Q1684" s="325"/>
      <c r="R1684" s="325">
        <v>20</v>
      </c>
    </row>
    <row r="1685" spans="1:18" ht="36">
      <c r="A1685" s="321">
        <v>64.138000000000005</v>
      </c>
      <c r="B1685" s="314" t="s">
        <v>2964</v>
      </c>
      <c r="C1685" s="322" t="s">
        <v>2965</v>
      </c>
      <c r="D1685" s="323">
        <v>26.45</v>
      </c>
      <c r="E1685" s="323">
        <v>26.45</v>
      </c>
      <c r="F1685" s="323"/>
      <c r="G1685" s="323"/>
      <c r="H1685" s="324">
        <v>345.16</v>
      </c>
      <c r="I1685" s="324">
        <v>345.16</v>
      </c>
      <c r="J1685" s="324"/>
      <c r="K1685" s="324"/>
      <c r="L1685" s="357">
        <v>13.04952741020794</v>
      </c>
      <c r="M1685" s="357">
        <v>13.05</v>
      </c>
      <c r="N1685" s="357" t="s">
        <v>135</v>
      </c>
      <c r="O1685" s="357" t="s">
        <v>135</v>
      </c>
      <c r="P1685" s="325"/>
      <c r="Q1685" s="325"/>
      <c r="R1685" s="325">
        <v>20</v>
      </c>
    </row>
    <row r="1686" spans="1:18" ht="36">
      <c r="A1686" s="321">
        <v>64.138999999999996</v>
      </c>
      <c r="B1686" s="314" t="s">
        <v>2966</v>
      </c>
      <c r="C1686" s="322" t="s">
        <v>2967</v>
      </c>
      <c r="D1686" s="323">
        <v>32.299999999999997</v>
      </c>
      <c r="E1686" s="323">
        <v>32.299999999999997</v>
      </c>
      <c r="F1686" s="323"/>
      <c r="G1686" s="323"/>
      <c r="H1686" s="324">
        <v>421.55</v>
      </c>
      <c r="I1686" s="324">
        <v>421.55</v>
      </c>
      <c r="J1686" s="324"/>
      <c r="K1686" s="324"/>
      <c r="L1686" s="357">
        <v>13.05108359133127</v>
      </c>
      <c r="M1686" s="357">
        <v>13.05</v>
      </c>
      <c r="N1686" s="357" t="s">
        <v>135</v>
      </c>
      <c r="O1686" s="357" t="s">
        <v>135</v>
      </c>
      <c r="P1686" s="325"/>
      <c r="Q1686" s="325"/>
      <c r="R1686" s="325">
        <v>20</v>
      </c>
    </row>
    <row r="1687" spans="1:18" ht="24">
      <c r="A1687" s="326">
        <v>64.14</v>
      </c>
      <c r="B1687" s="327" t="s">
        <v>2968</v>
      </c>
      <c r="C1687" s="328" t="s">
        <v>2969</v>
      </c>
      <c r="D1687" s="329">
        <v>33.54</v>
      </c>
      <c r="E1687" s="329">
        <v>33.17</v>
      </c>
      <c r="F1687" s="329">
        <v>0.37</v>
      </c>
      <c r="G1687" s="329"/>
      <c r="H1687" s="330">
        <v>435.65</v>
      </c>
      <c r="I1687" s="330">
        <v>432.87</v>
      </c>
      <c r="J1687" s="330">
        <v>2.78</v>
      </c>
      <c r="K1687" s="330"/>
      <c r="L1687" s="356">
        <v>12.98896839594514</v>
      </c>
      <c r="M1687" s="356">
        <v>13.05</v>
      </c>
      <c r="N1687" s="356">
        <v>7.5135135135135132</v>
      </c>
      <c r="O1687" s="356" t="s">
        <v>135</v>
      </c>
      <c r="P1687" s="331"/>
      <c r="Q1687" s="331"/>
      <c r="R1687" s="331">
        <v>20</v>
      </c>
    </row>
    <row r="1688" spans="1:18" ht="12.75">
      <c r="A1688" s="428" t="s">
        <v>2970</v>
      </c>
      <c r="B1688" s="429"/>
      <c r="C1688" s="429"/>
      <c r="D1688" s="429"/>
      <c r="E1688" s="429"/>
      <c r="F1688" s="429"/>
      <c r="G1688" s="429"/>
      <c r="H1688" s="429"/>
      <c r="I1688" s="429"/>
      <c r="J1688" s="429"/>
      <c r="K1688" s="429"/>
      <c r="L1688" s="429"/>
      <c r="M1688" s="429"/>
      <c r="N1688" s="429"/>
      <c r="O1688" s="429"/>
      <c r="P1688" s="429"/>
      <c r="Q1688" s="429"/>
      <c r="R1688" s="429"/>
    </row>
    <row r="1689" spans="1:18" ht="24">
      <c r="A1689" s="321">
        <v>64.141000000000005</v>
      </c>
      <c r="B1689" s="314" t="s">
        <v>2971</v>
      </c>
      <c r="C1689" s="322" t="s">
        <v>2972</v>
      </c>
      <c r="D1689" s="323">
        <v>398.34</v>
      </c>
      <c r="E1689" s="323">
        <v>123.43</v>
      </c>
      <c r="F1689" s="323">
        <v>5.49</v>
      </c>
      <c r="G1689" s="323">
        <v>269.42</v>
      </c>
      <c r="H1689" s="324">
        <v>3033.66</v>
      </c>
      <c r="I1689" s="324">
        <v>1610.77</v>
      </c>
      <c r="J1689" s="324">
        <v>41.69</v>
      </c>
      <c r="K1689" s="324">
        <v>1381.2</v>
      </c>
      <c r="L1689" s="357">
        <v>7.615755384847116</v>
      </c>
      <c r="M1689" s="357">
        <v>13.05</v>
      </c>
      <c r="N1689" s="357">
        <v>7.5938069216757738</v>
      </c>
      <c r="O1689" s="357">
        <v>5.1265681835053076</v>
      </c>
      <c r="P1689" s="325"/>
      <c r="Q1689" s="325"/>
      <c r="R1689" s="325">
        <v>21</v>
      </c>
    </row>
    <row r="1690" spans="1:18" ht="24">
      <c r="A1690" s="321">
        <v>64.141999999999996</v>
      </c>
      <c r="B1690" s="314" t="s">
        <v>2973</v>
      </c>
      <c r="C1690" s="322" t="s">
        <v>2974</v>
      </c>
      <c r="D1690" s="323">
        <v>263.18</v>
      </c>
      <c r="E1690" s="323">
        <v>96.6</v>
      </c>
      <c r="F1690" s="323">
        <v>2.56</v>
      </c>
      <c r="G1690" s="323">
        <v>164.02</v>
      </c>
      <c r="H1690" s="324">
        <v>2414.0100000000002</v>
      </c>
      <c r="I1690" s="324">
        <v>1260.5999999999999</v>
      </c>
      <c r="J1690" s="324">
        <v>19.45</v>
      </c>
      <c r="K1690" s="324">
        <v>1133.96</v>
      </c>
      <c r="L1690" s="357">
        <v>9.1724675127289306</v>
      </c>
      <c r="M1690" s="357">
        <v>13.05</v>
      </c>
      <c r="N1690" s="357">
        <v>7.59765625</v>
      </c>
      <c r="O1690" s="357">
        <v>6.9135471283989753</v>
      </c>
      <c r="P1690" s="325"/>
      <c r="Q1690" s="325"/>
      <c r="R1690" s="325">
        <v>21</v>
      </c>
    </row>
    <row r="1691" spans="1:18" ht="36">
      <c r="A1691" s="321">
        <v>64.143000000000001</v>
      </c>
      <c r="B1691" s="314" t="s">
        <v>2975</v>
      </c>
      <c r="C1691" s="322" t="s">
        <v>2976</v>
      </c>
      <c r="D1691" s="323">
        <v>5.92</v>
      </c>
      <c r="E1691" s="323">
        <v>5.92</v>
      </c>
      <c r="F1691" s="323"/>
      <c r="G1691" s="323"/>
      <c r="H1691" s="324">
        <v>77.319999999999993</v>
      </c>
      <c r="I1691" s="324">
        <v>77.319999999999993</v>
      </c>
      <c r="J1691" s="324"/>
      <c r="K1691" s="324"/>
      <c r="L1691" s="357">
        <v>13.060810810810811</v>
      </c>
      <c r="M1691" s="357">
        <v>13.05</v>
      </c>
      <c r="N1691" s="357" t="s">
        <v>135</v>
      </c>
      <c r="O1691" s="357" t="s">
        <v>135</v>
      </c>
      <c r="P1691" s="325"/>
      <c r="Q1691" s="325"/>
      <c r="R1691" s="325">
        <v>21</v>
      </c>
    </row>
    <row r="1692" spans="1:18" ht="36">
      <c r="A1692" s="321">
        <v>64.144000000000005</v>
      </c>
      <c r="B1692" s="314" t="s">
        <v>2977</v>
      </c>
      <c r="C1692" s="322" t="s">
        <v>2978</v>
      </c>
      <c r="D1692" s="323">
        <v>19.57</v>
      </c>
      <c r="E1692" s="323">
        <v>19.57</v>
      </c>
      <c r="F1692" s="323"/>
      <c r="G1692" s="323"/>
      <c r="H1692" s="324">
        <v>255.43</v>
      </c>
      <c r="I1692" s="324">
        <v>255.43</v>
      </c>
      <c r="J1692" s="324"/>
      <c r="K1692" s="324"/>
      <c r="L1692" s="357">
        <v>13.052120592743996</v>
      </c>
      <c r="M1692" s="357">
        <v>13.05</v>
      </c>
      <c r="N1692" s="357" t="s">
        <v>135</v>
      </c>
      <c r="O1692" s="357" t="s">
        <v>135</v>
      </c>
      <c r="P1692" s="325"/>
      <c r="Q1692" s="325"/>
      <c r="R1692" s="325">
        <v>21</v>
      </c>
    </row>
    <row r="1693" spans="1:18" ht="36">
      <c r="A1693" s="321">
        <v>64.144999999999996</v>
      </c>
      <c r="B1693" s="314" t="s">
        <v>2979</v>
      </c>
      <c r="C1693" s="322" t="s">
        <v>2980</v>
      </c>
      <c r="D1693" s="323">
        <v>47.2</v>
      </c>
      <c r="E1693" s="323">
        <v>46.83</v>
      </c>
      <c r="F1693" s="323">
        <v>0.37</v>
      </c>
      <c r="G1693" s="323"/>
      <c r="H1693" s="324">
        <v>613.89</v>
      </c>
      <c r="I1693" s="324">
        <v>611.11</v>
      </c>
      <c r="J1693" s="324">
        <v>2.78</v>
      </c>
      <c r="K1693" s="324"/>
      <c r="L1693" s="357">
        <v>13.006144067796608</v>
      </c>
      <c r="M1693" s="357">
        <v>13.05</v>
      </c>
      <c r="N1693" s="357">
        <v>7.5135135135135132</v>
      </c>
      <c r="O1693" s="357" t="s">
        <v>135</v>
      </c>
      <c r="P1693" s="325"/>
      <c r="Q1693" s="325"/>
      <c r="R1693" s="325">
        <v>21</v>
      </c>
    </row>
    <row r="1694" spans="1:18" ht="36">
      <c r="A1694" s="321">
        <v>64.146000000000001</v>
      </c>
      <c r="B1694" s="314" t="s">
        <v>2981</v>
      </c>
      <c r="C1694" s="322" t="s">
        <v>2982</v>
      </c>
      <c r="D1694" s="323">
        <v>60.97</v>
      </c>
      <c r="E1694" s="323">
        <v>60.6</v>
      </c>
      <c r="F1694" s="323">
        <v>0.37</v>
      </c>
      <c r="G1694" s="323"/>
      <c r="H1694" s="324">
        <v>793.54</v>
      </c>
      <c r="I1694" s="324">
        <v>790.76</v>
      </c>
      <c r="J1694" s="324">
        <v>2.78</v>
      </c>
      <c r="K1694" s="324"/>
      <c r="L1694" s="357">
        <v>13.015253403313105</v>
      </c>
      <c r="M1694" s="357">
        <v>13.05</v>
      </c>
      <c r="N1694" s="357">
        <v>7.5135135135135132</v>
      </c>
      <c r="O1694" s="357" t="s">
        <v>135</v>
      </c>
      <c r="P1694" s="325"/>
      <c r="Q1694" s="325"/>
      <c r="R1694" s="325">
        <v>21</v>
      </c>
    </row>
    <row r="1695" spans="1:18" ht="24">
      <c r="A1695" s="326">
        <v>64.147000000000006</v>
      </c>
      <c r="B1695" s="327" t="s">
        <v>2983</v>
      </c>
      <c r="C1695" s="328" t="s">
        <v>2984</v>
      </c>
      <c r="D1695" s="329">
        <v>58.31</v>
      </c>
      <c r="E1695" s="329">
        <v>56.48</v>
      </c>
      <c r="F1695" s="329">
        <v>1.83</v>
      </c>
      <c r="G1695" s="329"/>
      <c r="H1695" s="330">
        <v>750.91</v>
      </c>
      <c r="I1695" s="330">
        <v>737.01</v>
      </c>
      <c r="J1695" s="330">
        <v>13.9</v>
      </c>
      <c r="K1695" s="330"/>
      <c r="L1695" s="356">
        <v>12.877894014748756</v>
      </c>
      <c r="M1695" s="356">
        <v>13.05</v>
      </c>
      <c r="N1695" s="356">
        <v>7.5956284153005464</v>
      </c>
      <c r="O1695" s="356" t="s">
        <v>135</v>
      </c>
      <c r="P1695" s="331"/>
      <c r="Q1695" s="331"/>
      <c r="R1695" s="331">
        <v>21</v>
      </c>
    </row>
    <row r="1696" spans="1:18" ht="12.75">
      <c r="A1696" s="428" t="s">
        <v>2985</v>
      </c>
      <c r="B1696" s="429"/>
      <c r="C1696" s="429"/>
      <c r="D1696" s="429"/>
      <c r="E1696" s="429"/>
      <c r="F1696" s="429"/>
      <c r="G1696" s="429"/>
      <c r="H1696" s="429"/>
      <c r="I1696" s="429"/>
      <c r="J1696" s="429"/>
      <c r="K1696" s="429"/>
      <c r="L1696" s="429"/>
      <c r="M1696" s="429"/>
      <c r="N1696" s="429"/>
      <c r="O1696" s="429"/>
      <c r="P1696" s="429"/>
      <c r="Q1696" s="429"/>
      <c r="R1696" s="429"/>
    </row>
    <row r="1697" spans="1:18" ht="24">
      <c r="A1697" s="321">
        <v>64.147999999999996</v>
      </c>
      <c r="B1697" s="314" t="s">
        <v>2986</v>
      </c>
      <c r="C1697" s="322" t="s">
        <v>2987</v>
      </c>
      <c r="D1697" s="323">
        <v>370.66</v>
      </c>
      <c r="E1697" s="323">
        <v>103.3</v>
      </c>
      <c r="F1697" s="323">
        <v>1.83</v>
      </c>
      <c r="G1697" s="323">
        <v>265.52999999999997</v>
      </c>
      <c r="H1697" s="324">
        <v>2715.25</v>
      </c>
      <c r="I1697" s="324">
        <v>1348.15</v>
      </c>
      <c r="J1697" s="324">
        <v>13.9</v>
      </c>
      <c r="K1697" s="324">
        <v>1353.2</v>
      </c>
      <c r="L1697" s="357">
        <v>7.3254465008363452</v>
      </c>
      <c r="M1697" s="357">
        <v>13.05</v>
      </c>
      <c r="N1697" s="357">
        <v>7.5956284153005464</v>
      </c>
      <c r="O1697" s="357">
        <v>5.0962226490415405</v>
      </c>
      <c r="P1697" s="325"/>
      <c r="Q1697" s="325"/>
      <c r="R1697" s="325">
        <v>22</v>
      </c>
    </row>
    <row r="1698" spans="1:18" ht="24">
      <c r="A1698" s="321">
        <v>64.149000000000001</v>
      </c>
      <c r="B1698" s="314" t="s">
        <v>2988</v>
      </c>
      <c r="C1698" s="322" t="s">
        <v>2989</v>
      </c>
      <c r="D1698" s="323">
        <v>237.54</v>
      </c>
      <c r="E1698" s="323">
        <v>84.52</v>
      </c>
      <c r="F1698" s="323">
        <v>0.73</v>
      </c>
      <c r="G1698" s="323">
        <v>152.29</v>
      </c>
      <c r="H1698" s="324">
        <v>2154.36</v>
      </c>
      <c r="I1698" s="324">
        <v>1103.03</v>
      </c>
      <c r="J1698" s="324">
        <v>5.56</v>
      </c>
      <c r="K1698" s="324">
        <v>1045.77</v>
      </c>
      <c r="L1698" s="357">
        <v>9.0694619853498359</v>
      </c>
      <c r="M1698" s="357">
        <v>13.05</v>
      </c>
      <c r="N1698" s="357">
        <v>7.6164383561643829</v>
      </c>
      <c r="O1698" s="357">
        <v>6.8669643443430299</v>
      </c>
      <c r="P1698" s="325"/>
      <c r="Q1698" s="325"/>
      <c r="R1698" s="325">
        <v>22</v>
      </c>
    </row>
    <row r="1699" spans="1:18" ht="24">
      <c r="A1699" s="321">
        <v>64.150000000000006</v>
      </c>
      <c r="B1699" s="314" t="s">
        <v>2990</v>
      </c>
      <c r="C1699" s="322" t="s">
        <v>2991</v>
      </c>
      <c r="D1699" s="323">
        <v>3.91</v>
      </c>
      <c r="E1699" s="323">
        <v>3.91</v>
      </c>
      <c r="F1699" s="323"/>
      <c r="G1699" s="323"/>
      <c r="H1699" s="324">
        <v>51.09</v>
      </c>
      <c r="I1699" s="324">
        <v>51.09</v>
      </c>
      <c r="J1699" s="324"/>
      <c r="K1699" s="324"/>
      <c r="L1699" s="357">
        <v>13.066496163682865</v>
      </c>
      <c r="M1699" s="357">
        <v>13.05</v>
      </c>
      <c r="N1699" s="357" t="s">
        <v>135</v>
      </c>
      <c r="O1699" s="357" t="s">
        <v>135</v>
      </c>
      <c r="P1699" s="325"/>
      <c r="Q1699" s="325"/>
      <c r="R1699" s="325">
        <v>22</v>
      </c>
    </row>
    <row r="1700" spans="1:18" ht="24">
      <c r="A1700" s="321">
        <v>64.150999999999996</v>
      </c>
      <c r="B1700" s="314" t="s">
        <v>2992</v>
      </c>
      <c r="C1700" s="322" t="s">
        <v>2993</v>
      </c>
      <c r="D1700" s="323">
        <v>13.86</v>
      </c>
      <c r="E1700" s="323">
        <v>13.86</v>
      </c>
      <c r="F1700" s="323"/>
      <c r="G1700" s="323"/>
      <c r="H1700" s="324">
        <v>180.87</v>
      </c>
      <c r="I1700" s="324">
        <v>180.87</v>
      </c>
      <c r="J1700" s="324"/>
      <c r="K1700" s="324"/>
      <c r="L1700" s="357">
        <v>13.04978354978355</v>
      </c>
      <c r="M1700" s="357">
        <v>13.05</v>
      </c>
      <c r="N1700" s="357" t="s">
        <v>135</v>
      </c>
      <c r="O1700" s="357" t="s">
        <v>135</v>
      </c>
      <c r="P1700" s="325"/>
      <c r="Q1700" s="325"/>
      <c r="R1700" s="325">
        <v>22</v>
      </c>
    </row>
    <row r="1701" spans="1:18" ht="36">
      <c r="A1701" s="321">
        <v>64.152000000000001</v>
      </c>
      <c r="B1701" s="314" t="s">
        <v>2994</v>
      </c>
      <c r="C1701" s="322" t="s">
        <v>2995</v>
      </c>
      <c r="D1701" s="323">
        <v>30.57</v>
      </c>
      <c r="E1701" s="323">
        <v>30.57</v>
      </c>
      <c r="F1701" s="323"/>
      <c r="G1701" s="323"/>
      <c r="H1701" s="324">
        <v>398.92</v>
      </c>
      <c r="I1701" s="324">
        <v>398.92</v>
      </c>
      <c r="J1701" s="324"/>
      <c r="K1701" s="324"/>
      <c r="L1701" s="357">
        <v>13.049394831534185</v>
      </c>
      <c r="M1701" s="357">
        <v>13.05</v>
      </c>
      <c r="N1701" s="357" t="s">
        <v>135</v>
      </c>
      <c r="O1701" s="357" t="s">
        <v>135</v>
      </c>
      <c r="P1701" s="325"/>
      <c r="Q1701" s="325"/>
      <c r="R1701" s="325">
        <v>22</v>
      </c>
    </row>
    <row r="1702" spans="1:18" ht="36">
      <c r="A1702" s="321">
        <v>64.153000000000006</v>
      </c>
      <c r="B1702" s="314" t="s">
        <v>2996</v>
      </c>
      <c r="C1702" s="322" t="s">
        <v>2997</v>
      </c>
      <c r="D1702" s="323">
        <v>42.82</v>
      </c>
      <c r="E1702" s="323">
        <v>42.82</v>
      </c>
      <c r="F1702" s="323"/>
      <c r="G1702" s="323"/>
      <c r="H1702" s="324">
        <v>558.77</v>
      </c>
      <c r="I1702" s="324">
        <v>558.77</v>
      </c>
      <c r="J1702" s="324"/>
      <c r="K1702" s="324"/>
      <c r="L1702" s="357">
        <v>13.049276039234002</v>
      </c>
      <c r="M1702" s="357">
        <v>13.05</v>
      </c>
      <c r="N1702" s="357" t="s">
        <v>135</v>
      </c>
      <c r="O1702" s="357" t="s">
        <v>135</v>
      </c>
      <c r="P1702" s="325"/>
      <c r="Q1702" s="325"/>
      <c r="R1702" s="325">
        <v>22</v>
      </c>
    </row>
    <row r="1703" spans="1:18" ht="24">
      <c r="A1703" s="326">
        <v>64.153999999999996</v>
      </c>
      <c r="B1703" s="327" t="s">
        <v>2998</v>
      </c>
      <c r="C1703" s="328" t="s">
        <v>2999</v>
      </c>
      <c r="D1703" s="329">
        <v>37.47</v>
      </c>
      <c r="E1703" s="329">
        <v>36.74</v>
      </c>
      <c r="F1703" s="329">
        <v>0.73</v>
      </c>
      <c r="G1703" s="329"/>
      <c r="H1703" s="330">
        <v>484.97</v>
      </c>
      <c r="I1703" s="330">
        <v>479.41</v>
      </c>
      <c r="J1703" s="330">
        <v>5.56</v>
      </c>
      <c r="K1703" s="330"/>
      <c r="L1703" s="356">
        <v>12.942887643448094</v>
      </c>
      <c r="M1703" s="356">
        <v>13.05</v>
      </c>
      <c r="N1703" s="356">
        <v>7.6164383561643829</v>
      </c>
      <c r="O1703" s="356" t="s">
        <v>135</v>
      </c>
      <c r="P1703" s="331"/>
      <c r="Q1703" s="331"/>
      <c r="R1703" s="331">
        <v>22</v>
      </c>
    </row>
    <row r="1704" spans="1:18" ht="12.75">
      <c r="A1704" s="428" t="s">
        <v>3000</v>
      </c>
      <c r="B1704" s="429"/>
      <c r="C1704" s="429"/>
      <c r="D1704" s="429"/>
      <c r="E1704" s="429"/>
      <c r="F1704" s="429"/>
      <c r="G1704" s="429"/>
      <c r="H1704" s="429"/>
      <c r="I1704" s="429"/>
      <c r="J1704" s="429"/>
      <c r="K1704" s="429"/>
      <c r="L1704" s="429"/>
      <c r="M1704" s="429"/>
      <c r="N1704" s="429"/>
      <c r="O1704" s="429"/>
      <c r="P1704" s="429"/>
      <c r="Q1704" s="429"/>
      <c r="R1704" s="429"/>
    </row>
    <row r="1705" spans="1:18" ht="24">
      <c r="A1705" s="321">
        <v>64.155000000000001</v>
      </c>
      <c r="B1705" s="314" t="s">
        <v>3001</v>
      </c>
      <c r="C1705" s="322" t="s">
        <v>3002</v>
      </c>
      <c r="D1705" s="323">
        <v>695.11</v>
      </c>
      <c r="E1705" s="323">
        <v>123.43</v>
      </c>
      <c r="F1705" s="323">
        <v>5.49</v>
      </c>
      <c r="G1705" s="323">
        <v>566.19000000000005</v>
      </c>
      <c r="H1705" s="324">
        <v>4536.92</v>
      </c>
      <c r="I1705" s="324">
        <v>1610.77</v>
      </c>
      <c r="J1705" s="324">
        <v>41.69</v>
      </c>
      <c r="K1705" s="324">
        <v>2884.46</v>
      </c>
      <c r="L1705" s="357">
        <v>6.5269094100214353</v>
      </c>
      <c r="M1705" s="357">
        <v>13.05</v>
      </c>
      <c r="N1705" s="357">
        <v>7.5938069216757738</v>
      </c>
      <c r="O1705" s="357">
        <v>5.0945089104364252</v>
      </c>
      <c r="P1705" s="325"/>
      <c r="Q1705" s="325"/>
      <c r="R1705" s="325">
        <v>23</v>
      </c>
    </row>
    <row r="1706" spans="1:18" ht="24">
      <c r="A1706" s="321">
        <v>64.156000000000006</v>
      </c>
      <c r="B1706" s="314" t="s">
        <v>3003</v>
      </c>
      <c r="C1706" s="322" t="s">
        <v>3004</v>
      </c>
      <c r="D1706" s="323">
        <v>427.16</v>
      </c>
      <c r="E1706" s="323">
        <v>96.6</v>
      </c>
      <c r="F1706" s="323">
        <v>2.56</v>
      </c>
      <c r="G1706" s="323">
        <v>328</v>
      </c>
      <c r="H1706" s="324">
        <v>3534.79</v>
      </c>
      <c r="I1706" s="324">
        <v>1260.5999999999999</v>
      </c>
      <c r="J1706" s="324">
        <v>19.45</v>
      </c>
      <c r="K1706" s="324">
        <v>2254.7399999999998</v>
      </c>
      <c r="L1706" s="357">
        <v>8.2750959827699209</v>
      </c>
      <c r="M1706" s="357">
        <v>13.05</v>
      </c>
      <c r="N1706" s="357">
        <v>7.59765625</v>
      </c>
      <c r="O1706" s="357">
        <v>6.8742073170731697</v>
      </c>
      <c r="P1706" s="325"/>
      <c r="Q1706" s="325"/>
      <c r="R1706" s="325">
        <v>23</v>
      </c>
    </row>
    <row r="1707" spans="1:18" ht="24">
      <c r="A1707" s="321">
        <v>64.156999999999996</v>
      </c>
      <c r="B1707" s="314" t="s">
        <v>3005</v>
      </c>
      <c r="C1707" s="322" t="s">
        <v>3006</v>
      </c>
      <c r="D1707" s="323">
        <v>8.36</v>
      </c>
      <c r="E1707" s="323">
        <v>8.36</v>
      </c>
      <c r="F1707" s="323"/>
      <c r="G1707" s="323"/>
      <c r="H1707" s="324">
        <v>109.08</v>
      </c>
      <c r="I1707" s="324">
        <v>109.08</v>
      </c>
      <c r="J1707" s="324"/>
      <c r="K1707" s="324"/>
      <c r="L1707" s="357">
        <v>13.047846889952154</v>
      </c>
      <c r="M1707" s="357">
        <v>13.05</v>
      </c>
      <c r="N1707" s="357" t="s">
        <v>135</v>
      </c>
      <c r="O1707" s="357" t="s">
        <v>135</v>
      </c>
      <c r="P1707" s="325"/>
      <c r="Q1707" s="325"/>
      <c r="R1707" s="325">
        <v>23</v>
      </c>
    </row>
    <row r="1708" spans="1:18" ht="24">
      <c r="A1708" s="321">
        <v>64.158000000000001</v>
      </c>
      <c r="B1708" s="314" t="s">
        <v>3007</v>
      </c>
      <c r="C1708" s="322" t="s">
        <v>3008</v>
      </c>
      <c r="D1708" s="323">
        <v>32.06</v>
      </c>
      <c r="E1708" s="323">
        <v>32.06</v>
      </c>
      <c r="F1708" s="323"/>
      <c r="G1708" s="323"/>
      <c r="H1708" s="324">
        <v>418.35</v>
      </c>
      <c r="I1708" s="324">
        <v>418.35</v>
      </c>
      <c r="J1708" s="324"/>
      <c r="K1708" s="324"/>
      <c r="L1708" s="357">
        <v>13.048970679975046</v>
      </c>
      <c r="M1708" s="357">
        <v>13.05</v>
      </c>
      <c r="N1708" s="357" t="s">
        <v>135</v>
      </c>
      <c r="O1708" s="357" t="s">
        <v>135</v>
      </c>
      <c r="P1708" s="325"/>
      <c r="Q1708" s="325"/>
      <c r="R1708" s="325">
        <v>23</v>
      </c>
    </row>
    <row r="1709" spans="1:18" ht="36">
      <c r="A1709" s="321">
        <v>64.159000000000006</v>
      </c>
      <c r="B1709" s="314" t="s">
        <v>3009</v>
      </c>
      <c r="C1709" s="322" t="s">
        <v>3010</v>
      </c>
      <c r="D1709" s="323">
        <v>75.27</v>
      </c>
      <c r="E1709" s="323">
        <v>74.900000000000006</v>
      </c>
      <c r="F1709" s="323">
        <v>0.37</v>
      </c>
      <c r="G1709" s="323"/>
      <c r="H1709" s="324">
        <v>980.27</v>
      </c>
      <c r="I1709" s="324">
        <v>977.49</v>
      </c>
      <c r="J1709" s="324">
        <v>2.78</v>
      </c>
      <c r="K1709" s="324"/>
      <c r="L1709" s="357">
        <v>13.023382489703733</v>
      </c>
      <c r="M1709" s="357">
        <v>13.05</v>
      </c>
      <c r="N1709" s="357">
        <v>7.5135135135135132</v>
      </c>
      <c r="O1709" s="357" t="s">
        <v>135</v>
      </c>
      <c r="P1709" s="325"/>
      <c r="Q1709" s="325"/>
      <c r="R1709" s="325">
        <v>23</v>
      </c>
    </row>
    <row r="1710" spans="1:18" ht="36">
      <c r="A1710" s="321">
        <v>64.16</v>
      </c>
      <c r="B1710" s="314" t="s">
        <v>3011</v>
      </c>
      <c r="C1710" s="322" t="s">
        <v>3012</v>
      </c>
      <c r="D1710" s="323">
        <v>99.23</v>
      </c>
      <c r="E1710" s="323">
        <v>98.86</v>
      </c>
      <c r="F1710" s="323">
        <v>0.37</v>
      </c>
      <c r="G1710" s="323"/>
      <c r="H1710" s="324">
        <v>1292.9000000000001</v>
      </c>
      <c r="I1710" s="324">
        <v>1290.1199999999999</v>
      </c>
      <c r="J1710" s="324">
        <v>2.78</v>
      </c>
      <c r="K1710" s="324"/>
      <c r="L1710" s="357">
        <v>13.029325808727199</v>
      </c>
      <c r="M1710" s="357">
        <v>13.05</v>
      </c>
      <c r="N1710" s="357">
        <v>7.5135135135135132</v>
      </c>
      <c r="O1710" s="357" t="s">
        <v>135</v>
      </c>
      <c r="P1710" s="325"/>
      <c r="Q1710" s="325"/>
      <c r="R1710" s="325">
        <v>23</v>
      </c>
    </row>
    <row r="1711" spans="1:18" ht="24">
      <c r="A1711" s="326">
        <v>64.161000000000001</v>
      </c>
      <c r="B1711" s="327" t="s">
        <v>3013</v>
      </c>
      <c r="C1711" s="328" t="s">
        <v>3014</v>
      </c>
      <c r="D1711" s="329">
        <v>87.79</v>
      </c>
      <c r="E1711" s="329">
        <v>85.96</v>
      </c>
      <c r="F1711" s="329">
        <v>1.83</v>
      </c>
      <c r="G1711" s="329"/>
      <c r="H1711" s="330">
        <v>1135.68</v>
      </c>
      <c r="I1711" s="330">
        <v>1121.78</v>
      </c>
      <c r="J1711" s="330">
        <v>13.9</v>
      </c>
      <c r="K1711" s="330"/>
      <c r="L1711" s="356">
        <v>12.936325321790637</v>
      </c>
      <c r="M1711" s="356">
        <v>13.05</v>
      </c>
      <c r="N1711" s="356">
        <v>7.5956284153005464</v>
      </c>
      <c r="O1711" s="356" t="s">
        <v>135</v>
      </c>
      <c r="P1711" s="331"/>
      <c r="Q1711" s="331"/>
      <c r="R1711" s="331">
        <v>23</v>
      </c>
    </row>
    <row r="1712" spans="1:18" ht="12.75">
      <c r="A1712" s="428" t="s">
        <v>3015</v>
      </c>
      <c r="B1712" s="429"/>
      <c r="C1712" s="429"/>
      <c r="D1712" s="429"/>
      <c r="E1712" s="429"/>
      <c r="F1712" s="429"/>
      <c r="G1712" s="429"/>
      <c r="H1712" s="429"/>
      <c r="I1712" s="429"/>
      <c r="J1712" s="429"/>
      <c r="K1712" s="429"/>
      <c r="L1712" s="429"/>
      <c r="M1712" s="429"/>
      <c r="N1712" s="429"/>
      <c r="O1712" s="429"/>
      <c r="P1712" s="429"/>
      <c r="Q1712" s="429"/>
      <c r="R1712" s="429"/>
    </row>
    <row r="1713" spans="1:18" ht="24">
      <c r="A1713" s="321">
        <v>64.162000000000006</v>
      </c>
      <c r="B1713" s="314" t="s">
        <v>3016</v>
      </c>
      <c r="C1713" s="322" t="s">
        <v>3017</v>
      </c>
      <c r="D1713" s="323">
        <v>1041.83</v>
      </c>
      <c r="E1713" s="323">
        <v>215.61</v>
      </c>
      <c r="F1713" s="323">
        <v>6.22</v>
      </c>
      <c r="G1713" s="323">
        <v>820</v>
      </c>
      <c r="H1713" s="324">
        <v>7026.82</v>
      </c>
      <c r="I1713" s="324">
        <v>2813.64</v>
      </c>
      <c r="J1713" s="324">
        <v>47.24</v>
      </c>
      <c r="K1713" s="324">
        <v>4165.9399999999996</v>
      </c>
      <c r="L1713" s="357">
        <v>6.7446896326655983</v>
      </c>
      <c r="M1713" s="357">
        <v>13.05</v>
      </c>
      <c r="N1713" s="357">
        <v>7.5948553054662389</v>
      </c>
      <c r="O1713" s="357">
        <v>5.080414634146341</v>
      </c>
      <c r="P1713" s="325"/>
      <c r="Q1713" s="325"/>
      <c r="R1713" s="325">
        <v>24</v>
      </c>
    </row>
    <row r="1714" spans="1:18" ht="24">
      <c r="A1714" s="321">
        <v>64.162999999999997</v>
      </c>
      <c r="B1714" s="314" t="s">
        <v>3018</v>
      </c>
      <c r="C1714" s="322" t="s">
        <v>3019</v>
      </c>
      <c r="D1714" s="323">
        <v>661.55</v>
      </c>
      <c r="E1714" s="323">
        <v>170.51</v>
      </c>
      <c r="F1714" s="323">
        <v>2.93</v>
      </c>
      <c r="G1714" s="323">
        <v>488.11</v>
      </c>
      <c r="H1714" s="324">
        <v>5598.83</v>
      </c>
      <c r="I1714" s="324">
        <v>2225.17</v>
      </c>
      <c r="J1714" s="324">
        <v>22.23</v>
      </c>
      <c r="K1714" s="324">
        <v>3351.43</v>
      </c>
      <c r="L1714" s="357">
        <v>8.4632000604640627</v>
      </c>
      <c r="M1714" s="357">
        <v>13.05</v>
      </c>
      <c r="N1714" s="357">
        <v>7.5870307167235493</v>
      </c>
      <c r="O1714" s="357">
        <v>6.8661367314744624</v>
      </c>
      <c r="P1714" s="325"/>
      <c r="Q1714" s="325"/>
      <c r="R1714" s="325">
        <v>24</v>
      </c>
    </row>
    <row r="1715" spans="1:18" ht="24">
      <c r="A1715" s="321">
        <v>64.164000000000001</v>
      </c>
      <c r="B1715" s="314" t="s">
        <v>3020</v>
      </c>
      <c r="C1715" s="322" t="s">
        <v>3021</v>
      </c>
      <c r="D1715" s="323">
        <v>6.94</v>
      </c>
      <c r="E1715" s="323">
        <v>6.94</v>
      </c>
      <c r="F1715" s="323"/>
      <c r="G1715" s="323"/>
      <c r="H1715" s="324">
        <v>90.53</v>
      </c>
      <c r="I1715" s="324">
        <v>90.53</v>
      </c>
      <c r="J1715" s="324"/>
      <c r="K1715" s="324"/>
      <c r="L1715" s="357">
        <v>13.044668587896252</v>
      </c>
      <c r="M1715" s="357">
        <v>13.05</v>
      </c>
      <c r="N1715" s="357" t="s">
        <v>135</v>
      </c>
      <c r="O1715" s="357" t="s">
        <v>135</v>
      </c>
      <c r="P1715" s="325"/>
      <c r="Q1715" s="325"/>
      <c r="R1715" s="325">
        <v>24</v>
      </c>
    </row>
    <row r="1716" spans="1:18" ht="36">
      <c r="A1716" s="321">
        <v>64.165000000000006</v>
      </c>
      <c r="B1716" s="314" t="s">
        <v>3022</v>
      </c>
      <c r="C1716" s="322" t="s">
        <v>3023</v>
      </c>
      <c r="D1716" s="323">
        <v>26.77</v>
      </c>
      <c r="E1716" s="323">
        <v>26.77</v>
      </c>
      <c r="F1716" s="323"/>
      <c r="G1716" s="323"/>
      <c r="H1716" s="324">
        <v>349.41</v>
      </c>
      <c r="I1716" s="324">
        <v>349.41</v>
      </c>
      <c r="J1716" s="324"/>
      <c r="K1716" s="324"/>
      <c r="L1716" s="357">
        <v>13.052297347777364</v>
      </c>
      <c r="M1716" s="357">
        <v>13.05</v>
      </c>
      <c r="N1716" s="357" t="s">
        <v>135</v>
      </c>
      <c r="O1716" s="357" t="s">
        <v>135</v>
      </c>
      <c r="P1716" s="325"/>
      <c r="Q1716" s="325"/>
      <c r="R1716" s="325">
        <v>24</v>
      </c>
    </row>
    <row r="1717" spans="1:18" ht="36">
      <c r="A1717" s="321">
        <v>64.165999999999997</v>
      </c>
      <c r="B1717" s="314" t="s">
        <v>3024</v>
      </c>
      <c r="C1717" s="322" t="s">
        <v>3025</v>
      </c>
      <c r="D1717" s="323">
        <v>123.25</v>
      </c>
      <c r="E1717" s="323">
        <v>122.52</v>
      </c>
      <c r="F1717" s="323">
        <v>0.73</v>
      </c>
      <c r="G1717" s="323"/>
      <c r="H1717" s="324">
        <v>1604.53</v>
      </c>
      <c r="I1717" s="324">
        <v>1598.97</v>
      </c>
      <c r="J1717" s="324">
        <v>5.56</v>
      </c>
      <c r="K1717" s="324"/>
      <c r="L1717" s="357">
        <v>13.018498985801218</v>
      </c>
      <c r="M1717" s="357">
        <v>13.05</v>
      </c>
      <c r="N1717" s="357">
        <v>7.6164383561643829</v>
      </c>
      <c r="O1717" s="357" t="s">
        <v>135</v>
      </c>
      <c r="P1717" s="325"/>
      <c r="Q1717" s="325"/>
      <c r="R1717" s="325">
        <v>24</v>
      </c>
    </row>
    <row r="1718" spans="1:18" ht="36">
      <c r="A1718" s="321">
        <v>64.167000000000002</v>
      </c>
      <c r="B1718" s="314" t="s">
        <v>3026</v>
      </c>
      <c r="C1718" s="322" t="s">
        <v>3027</v>
      </c>
      <c r="D1718" s="323">
        <v>134.38999999999999</v>
      </c>
      <c r="E1718" s="323">
        <v>133.66</v>
      </c>
      <c r="F1718" s="323">
        <v>0.73</v>
      </c>
      <c r="G1718" s="323"/>
      <c r="H1718" s="324">
        <v>1749.89</v>
      </c>
      <c r="I1718" s="324">
        <v>1744.33</v>
      </c>
      <c r="J1718" s="324">
        <v>5.56</v>
      </c>
      <c r="K1718" s="324"/>
      <c r="L1718" s="357">
        <v>13.020983704144657</v>
      </c>
      <c r="M1718" s="357">
        <v>13.05</v>
      </c>
      <c r="N1718" s="357">
        <v>7.6164383561643829</v>
      </c>
      <c r="O1718" s="357" t="s">
        <v>135</v>
      </c>
      <c r="P1718" s="325"/>
      <c r="Q1718" s="325"/>
      <c r="R1718" s="325">
        <v>24</v>
      </c>
    </row>
    <row r="1719" spans="1:18" ht="24">
      <c r="A1719" s="326">
        <v>64.168000000000006</v>
      </c>
      <c r="B1719" s="327" t="s">
        <v>3028</v>
      </c>
      <c r="C1719" s="328" t="s">
        <v>3029</v>
      </c>
      <c r="D1719" s="329">
        <v>133.26</v>
      </c>
      <c r="E1719" s="329">
        <v>131.06</v>
      </c>
      <c r="F1719" s="329">
        <v>2.2000000000000002</v>
      </c>
      <c r="G1719" s="329"/>
      <c r="H1719" s="330">
        <v>1726.92</v>
      </c>
      <c r="I1719" s="330">
        <v>1710.25</v>
      </c>
      <c r="J1719" s="330">
        <v>16.670000000000002</v>
      </c>
      <c r="K1719" s="330"/>
      <c r="L1719" s="356">
        <v>12.959027465105809</v>
      </c>
      <c r="M1719" s="356">
        <v>13.05</v>
      </c>
      <c r="N1719" s="356">
        <v>7.5772727272727272</v>
      </c>
      <c r="O1719" s="356" t="s">
        <v>135</v>
      </c>
      <c r="P1719" s="331"/>
      <c r="Q1719" s="331"/>
      <c r="R1719" s="331">
        <v>24</v>
      </c>
    </row>
    <row r="1720" spans="1:18" ht="12.75">
      <c r="A1720" s="428" t="s">
        <v>3030</v>
      </c>
      <c r="B1720" s="429"/>
      <c r="C1720" s="429"/>
      <c r="D1720" s="429"/>
      <c r="E1720" s="429"/>
      <c r="F1720" s="429"/>
      <c r="G1720" s="429"/>
      <c r="H1720" s="429"/>
      <c r="I1720" s="429"/>
      <c r="J1720" s="429"/>
      <c r="K1720" s="429"/>
      <c r="L1720" s="429"/>
      <c r="M1720" s="429"/>
      <c r="N1720" s="429"/>
      <c r="O1720" s="429"/>
      <c r="P1720" s="429"/>
      <c r="Q1720" s="429"/>
      <c r="R1720" s="429"/>
    </row>
    <row r="1721" spans="1:18" ht="24">
      <c r="A1721" s="321">
        <v>64.168999999999997</v>
      </c>
      <c r="B1721" s="314" t="s">
        <v>3031</v>
      </c>
      <c r="C1721" s="322" t="s">
        <v>3032</v>
      </c>
      <c r="D1721" s="323">
        <v>1493.82</v>
      </c>
      <c r="E1721" s="323">
        <v>273.38</v>
      </c>
      <c r="F1721" s="323">
        <v>9.8800000000000008</v>
      </c>
      <c r="G1721" s="323">
        <v>1210.56</v>
      </c>
      <c r="H1721" s="324">
        <v>9803.2999999999993</v>
      </c>
      <c r="I1721" s="324">
        <v>3567.62</v>
      </c>
      <c r="J1721" s="324">
        <v>75.03</v>
      </c>
      <c r="K1721" s="324">
        <v>6160.65</v>
      </c>
      <c r="L1721" s="357">
        <v>6.5625711263739941</v>
      </c>
      <c r="M1721" s="357">
        <v>13.05</v>
      </c>
      <c r="N1721" s="357">
        <v>7.5941295546558703</v>
      </c>
      <c r="O1721" s="357">
        <v>5.0890909992069782</v>
      </c>
      <c r="P1721" s="325"/>
      <c r="Q1721" s="325"/>
      <c r="R1721" s="325">
        <v>25</v>
      </c>
    </row>
    <row r="1722" spans="1:18" ht="24">
      <c r="A1722" s="321">
        <v>64.17</v>
      </c>
      <c r="B1722" s="314" t="s">
        <v>3033</v>
      </c>
      <c r="C1722" s="322" t="s">
        <v>3034</v>
      </c>
      <c r="D1722" s="323">
        <v>918.36</v>
      </c>
      <c r="E1722" s="323">
        <v>208.56</v>
      </c>
      <c r="F1722" s="323">
        <v>6.96</v>
      </c>
      <c r="G1722" s="323">
        <v>702.84</v>
      </c>
      <c r="H1722" s="324">
        <v>7605.67</v>
      </c>
      <c r="I1722" s="324">
        <v>2721.69</v>
      </c>
      <c r="J1722" s="324">
        <v>52.8</v>
      </c>
      <c r="K1722" s="324">
        <v>4831.18</v>
      </c>
      <c r="L1722" s="357">
        <v>8.2817958099220341</v>
      </c>
      <c r="M1722" s="357">
        <v>13.05</v>
      </c>
      <c r="N1722" s="357">
        <v>7.5862068965517242</v>
      </c>
      <c r="O1722" s="357">
        <v>6.8737977349041035</v>
      </c>
      <c r="P1722" s="325"/>
      <c r="Q1722" s="325"/>
      <c r="R1722" s="325">
        <v>25</v>
      </c>
    </row>
    <row r="1723" spans="1:18" ht="24">
      <c r="A1723" s="321">
        <v>64.171000000000006</v>
      </c>
      <c r="B1723" s="314" t="s">
        <v>3035</v>
      </c>
      <c r="C1723" s="322" t="s">
        <v>3036</v>
      </c>
      <c r="D1723" s="323">
        <v>13.66</v>
      </c>
      <c r="E1723" s="323">
        <v>13.66</v>
      </c>
      <c r="F1723" s="323"/>
      <c r="G1723" s="323"/>
      <c r="H1723" s="324">
        <v>178.24</v>
      </c>
      <c r="I1723" s="324">
        <v>178.24</v>
      </c>
      <c r="J1723" s="324"/>
      <c r="K1723" s="324"/>
      <c r="L1723" s="357">
        <v>13.048316251830162</v>
      </c>
      <c r="M1723" s="357">
        <v>13.05</v>
      </c>
      <c r="N1723" s="357" t="s">
        <v>135</v>
      </c>
      <c r="O1723" s="357" t="s">
        <v>135</v>
      </c>
      <c r="P1723" s="325"/>
      <c r="Q1723" s="325"/>
      <c r="R1723" s="325">
        <v>25</v>
      </c>
    </row>
    <row r="1724" spans="1:18" ht="36">
      <c r="A1724" s="321">
        <v>64.171999999999997</v>
      </c>
      <c r="B1724" s="314" t="s">
        <v>3037</v>
      </c>
      <c r="C1724" s="322" t="s">
        <v>3038</v>
      </c>
      <c r="D1724" s="323">
        <v>53.66</v>
      </c>
      <c r="E1724" s="323">
        <v>53.66</v>
      </c>
      <c r="F1724" s="323"/>
      <c r="G1724" s="323"/>
      <c r="H1724" s="324">
        <v>700.23</v>
      </c>
      <c r="I1724" s="324">
        <v>700.23</v>
      </c>
      <c r="J1724" s="324"/>
      <c r="K1724" s="324"/>
      <c r="L1724" s="357">
        <v>13.049385016772272</v>
      </c>
      <c r="M1724" s="357">
        <v>13.05</v>
      </c>
      <c r="N1724" s="357" t="s">
        <v>135</v>
      </c>
      <c r="O1724" s="357" t="s">
        <v>135</v>
      </c>
      <c r="P1724" s="325"/>
      <c r="Q1724" s="325"/>
      <c r="R1724" s="325">
        <v>25</v>
      </c>
    </row>
    <row r="1725" spans="1:18" ht="36">
      <c r="A1725" s="321">
        <v>64.173000000000002</v>
      </c>
      <c r="B1725" s="314" t="s">
        <v>3039</v>
      </c>
      <c r="C1725" s="322" t="s">
        <v>3040</v>
      </c>
      <c r="D1725" s="323">
        <v>228.04</v>
      </c>
      <c r="E1725" s="323">
        <v>226.94</v>
      </c>
      <c r="F1725" s="323">
        <v>1.1000000000000001</v>
      </c>
      <c r="G1725" s="323"/>
      <c r="H1725" s="324">
        <v>2970.07</v>
      </c>
      <c r="I1725" s="324">
        <v>2961.73</v>
      </c>
      <c r="J1725" s="324">
        <v>8.34</v>
      </c>
      <c r="K1725" s="324"/>
      <c r="L1725" s="357">
        <v>13.024337835467463</v>
      </c>
      <c r="M1725" s="357">
        <v>13.05</v>
      </c>
      <c r="N1725" s="357">
        <v>7.5818181818181811</v>
      </c>
      <c r="O1725" s="357" t="s">
        <v>135</v>
      </c>
      <c r="P1725" s="325"/>
      <c r="Q1725" s="325"/>
      <c r="R1725" s="325">
        <v>25</v>
      </c>
    </row>
    <row r="1726" spans="1:18" ht="36">
      <c r="A1726" s="321">
        <v>64.174000000000007</v>
      </c>
      <c r="B1726" s="314" t="s">
        <v>3041</v>
      </c>
      <c r="C1726" s="322" t="s">
        <v>3042</v>
      </c>
      <c r="D1726" s="323">
        <v>268.42</v>
      </c>
      <c r="E1726" s="323">
        <v>267.32</v>
      </c>
      <c r="F1726" s="323">
        <v>1.1000000000000001</v>
      </c>
      <c r="G1726" s="323"/>
      <c r="H1726" s="324">
        <v>3497</v>
      </c>
      <c r="I1726" s="324">
        <v>3488.66</v>
      </c>
      <c r="J1726" s="324">
        <v>8.34</v>
      </c>
      <c r="K1726" s="324"/>
      <c r="L1726" s="357">
        <v>13.028090306236495</v>
      </c>
      <c r="M1726" s="357">
        <v>13.05</v>
      </c>
      <c r="N1726" s="357">
        <v>7.5818181818181811</v>
      </c>
      <c r="O1726" s="357" t="s">
        <v>135</v>
      </c>
      <c r="P1726" s="325"/>
      <c r="Q1726" s="325"/>
      <c r="R1726" s="325">
        <v>25</v>
      </c>
    </row>
    <row r="1727" spans="1:18" ht="24">
      <c r="A1727" s="326">
        <v>64.174999999999997</v>
      </c>
      <c r="B1727" s="327" t="s">
        <v>3043</v>
      </c>
      <c r="C1727" s="328" t="s">
        <v>3044</v>
      </c>
      <c r="D1727" s="329">
        <v>263.99</v>
      </c>
      <c r="E1727" s="329">
        <v>260.7</v>
      </c>
      <c r="F1727" s="329">
        <v>3.29</v>
      </c>
      <c r="G1727" s="329"/>
      <c r="H1727" s="330">
        <v>3427.12</v>
      </c>
      <c r="I1727" s="330">
        <v>3402.11</v>
      </c>
      <c r="J1727" s="330">
        <v>25.01</v>
      </c>
      <c r="K1727" s="330"/>
      <c r="L1727" s="356">
        <v>12.982006894200538</v>
      </c>
      <c r="M1727" s="356">
        <v>13.05</v>
      </c>
      <c r="N1727" s="356">
        <v>7.6018237082066875</v>
      </c>
      <c r="O1727" s="356" t="s">
        <v>135</v>
      </c>
      <c r="P1727" s="331"/>
      <c r="Q1727" s="331"/>
      <c r="R1727" s="331">
        <v>25</v>
      </c>
    </row>
    <row r="1728" spans="1:18" ht="12.75">
      <c r="A1728" s="428" t="s">
        <v>3045</v>
      </c>
      <c r="B1728" s="429"/>
      <c r="C1728" s="429"/>
      <c r="D1728" s="429"/>
      <c r="E1728" s="429"/>
      <c r="F1728" s="429"/>
      <c r="G1728" s="429"/>
      <c r="H1728" s="429"/>
      <c r="I1728" s="429"/>
      <c r="J1728" s="429"/>
      <c r="K1728" s="429"/>
      <c r="L1728" s="429"/>
      <c r="M1728" s="429"/>
      <c r="N1728" s="429"/>
      <c r="O1728" s="429"/>
      <c r="P1728" s="429"/>
      <c r="Q1728" s="429"/>
      <c r="R1728" s="429"/>
    </row>
    <row r="1729" spans="1:18" ht="24">
      <c r="A1729" s="321">
        <v>64.176000000000002</v>
      </c>
      <c r="B1729" s="314" t="s">
        <v>3046</v>
      </c>
      <c r="C1729" s="322" t="s">
        <v>3047</v>
      </c>
      <c r="D1729" s="323">
        <v>1919.56</v>
      </c>
      <c r="E1729" s="323">
        <v>539.72</v>
      </c>
      <c r="F1729" s="323">
        <v>13.18</v>
      </c>
      <c r="G1729" s="323">
        <v>1366.66</v>
      </c>
      <c r="H1729" s="324">
        <v>14092.64</v>
      </c>
      <c r="I1729" s="324">
        <v>7043.29</v>
      </c>
      <c r="J1729" s="324">
        <v>100.04</v>
      </c>
      <c r="K1729" s="324">
        <v>6949.31</v>
      </c>
      <c r="L1729" s="357">
        <v>7.3415991164641898</v>
      </c>
      <c r="M1729" s="357">
        <v>13.05</v>
      </c>
      <c r="N1729" s="357">
        <v>7.5902883156297429</v>
      </c>
      <c r="O1729" s="357">
        <v>5.0848857799306337</v>
      </c>
      <c r="P1729" s="325"/>
      <c r="Q1729" s="325"/>
      <c r="R1729" s="325">
        <v>26</v>
      </c>
    </row>
    <row r="1730" spans="1:18" ht="24">
      <c r="A1730" s="321">
        <v>64.177000000000007</v>
      </c>
      <c r="B1730" s="314" t="s">
        <v>3048</v>
      </c>
      <c r="C1730" s="322" t="s">
        <v>3049</v>
      </c>
      <c r="D1730" s="323">
        <v>1214.24</v>
      </c>
      <c r="E1730" s="323">
        <v>384.71</v>
      </c>
      <c r="F1730" s="323">
        <v>9.52</v>
      </c>
      <c r="G1730" s="323">
        <v>820.01</v>
      </c>
      <c r="H1730" s="324">
        <v>10727.08</v>
      </c>
      <c r="I1730" s="324">
        <v>5020.42</v>
      </c>
      <c r="J1730" s="324">
        <v>72.25</v>
      </c>
      <c r="K1730" s="324">
        <v>5634.41</v>
      </c>
      <c r="L1730" s="357">
        <v>8.8343984714718662</v>
      </c>
      <c r="M1730" s="357">
        <v>13.05</v>
      </c>
      <c r="N1730" s="357">
        <v>7.5892857142857144</v>
      </c>
      <c r="O1730" s="357">
        <v>6.871147912830331</v>
      </c>
      <c r="P1730" s="325"/>
      <c r="Q1730" s="325"/>
      <c r="R1730" s="325">
        <v>26</v>
      </c>
    </row>
    <row r="1731" spans="1:18" ht="36">
      <c r="A1731" s="321">
        <v>64.177999999999997</v>
      </c>
      <c r="B1731" s="314" t="s">
        <v>3050</v>
      </c>
      <c r="C1731" s="322" t="s">
        <v>3051</v>
      </c>
      <c r="D1731" s="323">
        <v>20.27</v>
      </c>
      <c r="E1731" s="323">
        <v>20.27</v>
      </c>
      <c r="F1731" s="323"/>
      <c r="G1731" s="323"/>
      <c r="H1731" s="324">
        <v>264.52999999999997</v>
      </c>
      <c r="I1731" s="324">
        <v>264.52999999999997</v>
      </c>
      <c r="J1731" s="324"/>
      <c r="K1731" s="324"/>
      <c r="L1731" s="357">
        <v>13.050320670942279</v>
      </c>
      <c r="M1731" s="357">
        <v>13.05</v>
      </c>
      <c r="N1731" s="357" t="s">
        <v>135</v>
      </c>
      <c r="O1731" s="357" t="s">
        <v>135</v>
      </c>
      <c r="P1731" s="325"/>
      <c r="Q1731" s="325"/>
      <c r="R1731" s="325">
        <v>26</v>
      </c>
    </row>
    <row r="1732" spans="1:18" ht="36">
      <c r="A1732" s="321">
        <v>64.179000000000002</v>
      </c>
      <c r="B1732" s="314" t="s">
        <v>3052</v>
      </c>
      <c r="C1732" s="322" t="s">
        <v>3053</v>
      </c>
      <c r="D1732" s="323">
        <v>81.73</v>
      </c>
      <c r="E1732" s="323">
        <v>81.73</v>
      </c>
      <c r="F1732" s="323"/>
      <c r="G1732" s="323"/>
      <c r="H1732" s="324">
        <v>1066.6099999999999</v>
      </c>
      <c r="I1732" s="324">
        <v>1066.6099999999999</v>
      </c>
      <c r="J1732" s="324"/>
      <c r="K1732" s="324"/>
      <c r="L1732" s="357">
        <v>13.050409886210693</v>
      </c>
      <c r="M1732" s="357">
        <v>13.05</v>
      </c>
      <c r="N1732" s="357" t="s">
        <v>135</v>
      </c>
      <c r="O1732" s="357" t="s">
        <v>135</v>
      </c>
      <c r="P1732" s="325"/>
      <c r="Q1732" s="325"/>
      <c r="R1732" s="325">
        <v>26</v>
      </c>
    </row>
    <row r="1733" spans="1:18" ht="36">
      <c r="A1733" s="321">
        <v>64.180000000000007</v>
      </c>
      <c r="B1733" s="314" t="s">
        <v>3054</v>
      </c>
      <c r="C1733" s="322" t="s">
        <v>3055</v>
      </c>
      <c r="D1733" s="323">
        <v>345.36</v>
      </c>
      <c r="E1733" s="323">
        <v>343.9</v>
      </c>
      <c r="F1733" s="323">
        <v>1.46</v>
      </c>
      <c r="G1733" s="323"/>
      <c r="H1733" s="324">
        <v>4499.13</v>
      </c>
      <c r="I1733" s="324">
        <v>4488.01</v>
      </c>
      <c r="J1733" s="324">
        <v>11.12</v>
      </c>
      <c r="K1733" s="324"/>
      <c r="L1733" s="357">
        <v>13.027362751911049</v>
      </c>
      <c r="M1733" s="357">
        <v>13.05</v>
      </c>
      <c r="N1733" s="357">
        <v>7.6164383561643829</v>
      </c>
      <c r="O1733" s="357" t="s">
        <v>135</v>
      </c>
      <c r="P1733" s="325"/>
      <c r="Q1733" s="325"/>
      <c r="R1733" s="325">
        <v>26</v>
      </c>
    </row>
    <row r="1734" spans="1:18" ht="36">
      <c r="A1734" s="321">
        <v>64.180999999999997</v>
      </c>
      <c r="B1734" s="314" t="s">
        <v>3056</v>
      </c>
      <c r="C1734" s="322" t="s">
        <v>3057</v>
      </c>
      <c r="D1734" s="323">
        <v>405.23</v>
      </c>
      <c r="E1734" s="323">
        <v>403.77</v>
      </c>
      <c r="F1734" s="323">
        <v>1.46</v>
      </c>
      <c r="G1734" s="323"/>
      <c r="H1734" s="324">
        <v>5280.45</v>
      </c>
      <c r="I1734" s="324">
        <v>5269.33</v>
      </c>
      <c r="J1734" s="324">
        <v>11.12</v>
      </c>
      <c r="K1734" s="324"/>
      <c r="L1734" s="357">
        <v>13.030747970288477</v>
      </c>
      <c r="M1734" s="357">
        <v>13.05</v>
      </c>
      <c r="N1734" s="357">
        <v>7.6164383561643829</v>
      </c>
      <c r="O1734" s="357" t="s">
        <v>135</v>
      </c>
      <c r="P1734" s="325"/>
      <c r="Q1734" s="325"/>
      <c r="R1734" s="325">
        <v>26</v>
      </c>
    </row>
    <row r="1735" spans="1:18" ht="24">
      <c r="A1735" s="326">
        <v>64.182000000000002</v>
      </c>
      <c r="B1735" s="327" t="s">
        <v>3058</v>
      </c>
      <c r="C1735" s="328" t="s">
        <v>3059</v>
      </c>
      <c r="D1735" s="329">
        <v>393.54</v>
      </c>
      <c r="E1735" s="329">
        <v>393.17</v>
      </c>
      <c r="F1735" s="329">
        <v>0.37</v>
      </c>
      <c r="G1735" s="329"/>
      <c r="H1735" s="330">
        <v>5133.53</v>
      </c>
      <c r="I1735" s="330">
        <v>5130.75</v>
      </c>
      <c r="J1735" s="330">
        <v>2.78</v>
      </c>
      <c r="K1735" s="330"/>
      <c r="L1735" s="356">
        <v>13.044493571174467</v>
      </c>
      <c r="M1735" s="356">
        <v>13.05</v>
      </c>
      <c r="N1735" s="356">
        <v>7.5135135135135132</v>
      </c>
      <c r="O1735" s="356" t="s">
        <v>135</v>
      </c>
      <c r="P1735" s="331"/>
      <c r="Q1735" s="331"/>
      <c r="R1735" s="331">
        <v>26</v>
      </c>
    </row>
    <row r="1736" spans="1:18" ht="12.75">
      <c r="A1736" s="428" t="s">
        <v>3060</v>
      </c>
      <c r="B1736" s="429"/>
      <c r="C1736" s="429"/>
      <c r="D1736" s="429"/>
      <c r="E1736" s="429"/>
      <c r="F1736" s="429"/>
      <c r="G1736" s="429"/>
      <c r="H1736" s="429"/>
      <c r="I1736" s="429"/>
      <c r="J1736" s="429"/>
      <c r="K1736" s="429"/>
      <c r="L1736" s="429"/>
      <c r="M1736" s="429"/>
      <c r="N1736" s="429"/>
      <c r="O1736" s="429"/>
      <c r="P1736" s="429"/>
      <c r="Q1736" s="429"/>
      <c r="R1736" s="429"/>
    </row>
    <row r="1737" spans="1:18" ht="36">
      <c r="A1737" s="321">
        <v>64.183000000000007</v>
      </c>
      <c r="B1737" s="314" t="s">
        <v>3061</v>
      </c>
      <c r="C1737" s="322" t="s">
        <v>3062</v>
      </c>
      <c r="D1737" s="323">
        <v>158.16</v>
      </c>
      <c r="E1737" s="323">
        <v>35.26</v>
      </c>
      <c r="F1737" s="323">
        <v>2.2000000000000002</v>
      </c>
      <c r="G1737" s="323">
        <v>120.7</v>
      </c>
      <c r="H1737" s="324">
        <v>1628.59</v>
      </c>
      <c r="I1737" s="324">
        <v>460.11</v>
      </c>
      <c r="J1737" s="324">
        <v>16.670000000000002</v>
      </c>
      <c r="K1737" s="324">
        <v>1151.81</v>
      </c>
      <c r="L1737" s="357">
        <v>10.297104198280222</v>
      </c>
      <c r="M1737" s="357">
        <v>13.05</v>
      </c>
      <c r="N1737" s="357">
        <v>7.5772727272727272</v>
      </c>
      <c r="O1737" s="357">
        <v>9.5427506213753102</v>
      </c>
      <c r="P1737" s="325"/>
      <c r="Q1737" s="325"/>
      <c r="R1737" s="325">
        <v>27</v>
      </c>
    </row>
    <row r="1738" spans="1:18" ht="36">
      <c r="A1738" s="321">
        <v>64.183999999999997</v>
      </c>
      <c r="B1738" s="314" t="s">
        <v>3063</v>
      </c>
      <c r="C1738" s="322" t="s">
        <v>3064</v>
      </c>
      <c r="D1738" s="323">
        <v>102.73</v>
      </c>
      <c r="E1738" s="323">
        <v>26.19</v>
      </c>
      <c r="F1738" s="323">
        <v>1.1000000000000001</v>
      </c>
      <c r="G1738" s="323">
        <v>75.44</v>
      </c>
      <c r="H1738" s="324">
        <v>1335.78</v>
      </c>
      <c r="I1738" s="324">
        <v>341.76</v>
      </c>
      <c r="J1738" s="324">
        <v>8.34</v>
      </c>
      <c r="K1738" s="324">
        <v>985.68</v>
      </c>
      <c r="L1738" s="357">
        <v>13.002822933904408</v>
      </c>
      <c r="M1738" s="357">
        <v>13.05</v>
      </c>
      <c r="N1738" s="357">
        <v>7.5818181818181811</v>
      </c>
      <c r="O1738" s="357">
        <v>13.065747613997878</v>
      </c>
      <c r="P1738" s="325"/>
      <c r="Q1738" s="325"/>
      <c r="R1738" s="325">
        <v>27</v>
      </c>
    </row>
    <row r="1739" spans="1:18" ht="36">
      <c r="A1739" s="321">
        <v>64.185000000000002</v>
      </c>
      <c r="B1739" s="314" t="s">
        <v>3065</v>
      </c>
      <c r="C1739" s="322" t="s">
        <v>3066</v>
      </c>
      <c r="D1739" s="323">
        <v>2.68</v>
      </c>
      <c r="E1739" s="323">
        <v>2.68</v>
      </c>
      <c r="F1739" s="323"/>
      <c r="G1739" s="323"/>
      <c r="H1739" s="324">
        <v>34.94</v>
      </c>
      <c r="I1739" s="324">
        <v>34.94</v>
      </c>
      <c r="J1739" s="324"/>
      <c r="K1739" s="324"/>
      <c r="L1739" s="357">
        <v>13.03731343283582</v>
      </c>
      <c r="M1739" s="357">
        <v>13.05</v>
      </c>
      <c r="N1739" s="357" t="s">
        <v>135</v>
      </c>
      <c r="O1739" s="357" t="s">
        <v>135</v>
      </c>
      <c r="P1739" s="325"/>
      <c r="Q1739" s="325"/>
      <c r="R1739" s="325">
        <v>27</v>
      </c>
    </row>
    <row r="1740" spans="1:18" ht="36">
      <c r="A1740" s="321">
        <v>64.186000000000007</v>
      </c>
      <c r="B1740" s="314" t="s">
        <v>3067</v>
      </c>
      <c r="C1740" s="322" t="s">
        <v>3068</v>
      </c>
      <c r="D1740" s="323">
        <v>10.82</v>
      </c>
      <c r="E1740" s="323">
        <v>10.82</v>
      </c>
      <c r="F1740" s="323"/>
      <c r="G1740" s="323"/>
      <c r="H1740" s="324">
        <v>141.16999999999999</v>
      </c>
      <c r="I1740" s="324">
        <v>141.16999999999999</v>
      </c>
      <c r="J1740" s="324"/>
      <c r="K1740" s="324"/>
      <c r="L1740" s="357">
        <v>13.047134935304989</v>
      </c>
      <c r="M1740" s="357">
        <v>13.05</v>
      </c>
      <c r="N1740" s="357" t="s">
        <v>135</v>
      </c>
      <c r="O1740" s="357" t="s">
        <v>135</v>
      </c>
      <c r="P1740" s="325"/>
      <c r="Q1740" s="325"/>
      <c r="R1740" s="325">
        <v>27</v>
      </c>
    </row>
    <row r="1741" spans="1:18" ht="48">
      <c r="A1741" s="321">
        <v>64.186999999999998</v>
      </c>
      <c r="B1741" s="314" t="s">
        <v>3069</v>
      </c>
      <c r="C1741" s="322" t="s">
        <v>3070</v>
      </c>
      <c r="D1741" s="323">
        <v>23.99</v>
      </c>
      <c r="E1741" s="323">
        <v>23.99</v>
      </c>
      <c r="F1741" s="323"/>
      <c r="G1741" s="323"/>
      <c r="H1741" s="324">
        <v>313.08</v>
      </c>
      <c r="I1741" s="324">
        <v>313.08</v>
      </c>
      <c r="J1741" s="324"/>
      <c r="K1741" s="324"/>
      <c r="L1741" s="357">
        <v>13.050437682367653</v>
      </c>
      <c r="M1741" s="357">
        <v>13.05</v>
      </c>
      <c r="N1741" s="357" t="s">
        <v>135</v>
      </c>
      <c r="O1741" s="357" t="s">
        <v>135</v>
      </c>
      <c r="P1741" s="325"/>
      <c r="Q1741" s="325"/>
      <c r="R1741" s="325">
        <v>27</v>
      </c>
    </row>
    <row r="1742" spans="1:18" ht="48">
      <c r="A1742" s="321">
        <v>64.188000000000002</v>
      </c>
      <c r="B1742" s="314" t="s">
        <v>3071</v>
      </c>
      <c r="C1742" s="322" t="s">
        <v>3072</v>
      </c>
      <c r="D1742" s="323">
        <v>32.020000000000003</v>
      </c>
      <c r="E1742" s="323">
        <v>32.020000000000003</v>
      </c>
      <c r="F1742" s="323"/>
      <c r="G1742" s="323"/>
      <c r="H1742" s="324">
        <v>417.91</v>
      </c>
      <c r="I1742" s="324">
        <v>417.91</v>
      </c>
      <c r="J1742" s="324"/>
      <c r="K1742" s="324"/>
      <c r="L1742" s="357">
        <v>13.05153029356652</v>
      </c>
      <c r="M1742" s="357">
        <v>13.05</v>
      </c>
      <c r="N1742" s="357" t="s">
        <v>135</v>
      </c>
      <c r="O1742" s="357" t="s">
        <v>135</v>
      </c>
      <c r="P1742" s="325"/>
      <c r="Q1742" s="325"/>
      <c r="R1742" s="325">
        <v>27</v>
      </c>
    </row>
    <row r="1743" spans="1:18" ht="36">
      <c r="A1743" s="326">
        <v>64.188999999999993</v>
      </c>
      <c r="B1743" s="327" t="s">
        <v>3073</v>
      </c>
      <c r="C1743" s="328" t="s">
        <v>3074</v>
      </c>
      <c r="D1743" s="329">
        <v>31.47</v>
      </c>
      <c r="E1743" s="329">
        <v>30.74</v>
      </c>
      <c r="F1743" s="329">
        <v>0.73</v>
      </c>
      <c r="G1743" s="329"/>
      <c r="H1743" s="330">
        <v>406.7</v>
      </c>
      <c r="I1743" s="330">
        <v>401.14</v>
      </c>
      <c r="J1743" s="330">
        <v>5.56</v>
      </c>
      <c r="K1743" s="330"/>
      <c r="L1743" s="356">
        <v>12.92341912932952</v>
      </c>
      <c r="M1743" s="356">
        <v>13.05</v>
      </c>
      <c r="N1743" s="356">
        <v>7.6164383561643829</v>
      </c>
      <c r="O1743" s="356" t="s">
        <v>135</v>
      </c>
      <c r="P1743" s="331"/>
      <c r="Q1743" s="331"/>
      <c r="R1743" s="331">
        <v>27</v>
      </c>
    </row>
    <row r="1744" spans="1:18" ht="12.75">
      <c r="A1744" s="428" t="s">
        <v>3075</v>
      </c>
      <c r="B1744" s="429"/>
      <c r="C1744" s="429"/>
      <c r="D1744" s="429"/>
      <c r="E1744" s="429"/>
      <c r="F1744" s="429"/>
      <c r="G1744" s="429"/>
      <c r="H1744" s="429"/>
      <c r="I1744" s="429"/>
      <c r="J1744" s="429"/>
      <c r="K1744" s="429"/>
      <c r="L1744" s="429"/>
      <c r="M1744" s="429"/>
      <c r="N1744" s="429"/>
      <c r="O1744" s="429"/>
      <c r="P1744" s="429"/>
      <c r="Q1744" s="429"/>
      <c r="R1744" s="429"/>
    </row>
    <row r="1745" spans="1:18" ht="36">
      <c r="A1745" s="321">
        <v>64.19</v>
      </c>
      <c r="B1745" s="314" t="s">
        <v>3076</v>
      </c>
      <c r="C1745" s="322" t="s">
        <v>3077</v>
      </c>
      <c r="D1745" s="323">
        <v>266.3</v>
      </c>
      <c r="E1745" s="323">
        <v>45.75</v>
      </c>
      <c r="F1745" s="323">
        <v>3.29</v>
      </c>
      <c r="G1745" s="323">
        <v>217.26</v>
      </c>
      <c r="H1745" s="324">
        <v>2700.42</v>
      </c>
      <c r="I1745" s="324">
        <v>597.08000000000004</v>
      </c>
      <c r="J1745" s="324">
        <v>25.01</v>
      </c>
      <c r="K1745" s="324">
        <v>2078.33</v>
      </c>
      <c r="L1745" s="357">
        <v>10.140518212542245</v>
      </c>
      <c r="M1745" s="357">
        <v>13.05</v>
      </c>
      <c r="N1745" s="357">
        <v>7.6018237082066875</v>
      </c>
      <c r="O1745" s="357">
        <v>9.5660959219368493</v>
      </c>
      <c r="P1745" s="325"/>
      <c r="Q1745" s="325"/>
      <c r="R1745" s="325">
        <v>28</v>
      </c>
    </row>
    <row r="1746" spans="1:18" ht="36">
      <c r="A1746" s="321">
        <v>64.191000000000003</v>
      </c>
      <c r="B1746" s="314" t="s">
        <v>3078</v>
      </c>
      <c r="C1746" s="322" t="s">
        <v>3079</v>
      </c>
      <c r="D1746" s="323">
        <v>172.81</v>
      </c>
      <c r="E1746" s="323">
        <v>35.56</v>
      </c>
      <c r="F1746" s="323">
        <v>1.46</v>
      </c>
      <c r="G1746" s="323">
        <v>135.79</v>
      </c>
      <c r="H1746" s="324">
        <v>2252.52</v>
      </c>
      <c r="I1746" s="324">
        <v>464.1</v>
      </c>
      <c r="J1746" s="324">
        <v>11.12</v>
      </c>
      <c r="K1746" s="324">
        <v>1777.3</v>
      </c>
      <c r="L1746" s="357">
        <v>13.034662345929055</v>
      </c>
      <c r="M1746" s="357">
        <v>13.05</v>
      </c>
      <c r="N1746" s="357">
        <v>7.6164383561643829</v>
      </c>
      <c r="O1746" s="357">
        <v>13.088592679873335</v>
      </c>
      <c r="P1746" s="325"/>
      <c r="Q1746" s="325"/>
      <c r="R1746" s="325">
        <v>28</v>
      </c>
    </row>
    <row r="1747" spans="1:18" ht="36">
      <c r="A1747" s="321">
        <v>64.191999999999993</v>
      </c>
      <c r="B1747" s="314" t="s">
        <v>3080</v>
      </c>
      <c r="C1747" s="322" t="s">
        <v>3081</v>
      </c>
      <c r="D1747" s="323">
        <v>3.96</v>
      </c>
      <c r="E1747" s="323">
        <v>3.96</v>
      </c>
      <c r="F1747" s="323"/>
      <c r="G1747" s="323"/>
      <c r="H1747" s="324">
        <v>51.71</v>
      </c>
      <c r="I1747" s="324">
        <v>51.71</v>
      </c>
      <c r="J1747" s="324"/>
      <c r="K1747" s="324"/>
      <c r="L1747" s="357">
        <v>13.058080808080808</v>
      </c>
      <c r="M1747" s="357">
        <v>13.05</v>
      </c>
      <c r="N1747" s="357" t="s">
        <v>135</v>
      </c>
      <c r="O1747" s="357" t="s">
        <v>135</v>
      </c>
      <c r="P1747" s="325"/>
      <c r="Q1747" s="325"/>
      <c r="R1747" s="325">
        <v>28</v>
      </c>
    </row>
    <row r="1748" spans="1:18" ht="36">
      <c r="A1748" s="321">
        <v>64.192999999999998</v>
      </c>
      <c r="B1748" s="314" t="s">
        <v>3082</v>
      </c>
      <c r="C1748" s="322" t="s">
        <v>3083</v>
      </c>
      <c r="D1748" s="323">
        <v>16.170000000000002</v>
      </c>
      <c r="E1748" s="323">
        <v>16.170000000000002</v>
      </c>
      <c r="F1748" s="323"/>
      <c r="G1748" s="323"/>
      <c r="H1748" s="324">
        <v>211.05</v>
      </c>
      <c r="I1748" s="324">
        <v>211.05</v>
      </c>
      <c r="J1748" s="324"/>
      <c r="K1748" s="324"/>
      <c r="L1748" s="357">
        <v>13.051948051948051</v>
      </c>
      <c r="M1748" s="357">
        <v>13.05</v>
      </c>
      <c r="N1748" s="357" t="s">
        <v>135</v>
      </c>
      <c r="O1748" s="357" t="s">
        <v>135</v>
      </c>
      <c r="P1748" s="325"/>
      <c r="Q1748" s="325"/>
      <c r="R1748" s="325">
        <v>28</v>
      </c>
    </row>
    <row r="1749" spans="1:18" ht="48">
      <c r="A1749" s="321">
        <v>64.194000000000003</v>
      </c>
      <c r="B1749" s="314" t="s">
        <v>3084</v>
      </c>
      <c r="C1749" s="322" t="s">
        <v>3085</v>
      </c>
      <c r="D1749" s="323">
        <v>36.31</v>
      </c>
      <c r="E1749" s="323">
        <v>36.31</v>
      </c>
      <c r="F1749" s="323"/>
      <c r="G1749" s="323"/>
      <c r="H1749" s="324">
        <v>473.82</v>
      </c>
      <c r="I1749" s="324">
        <v>473.82</v>
      </c>
      <c r="J1749" s="324"/>
      <c r="K1749" s="324"/>
      <c r="L1749" s="357">
        <v>13.049297714128338</v>
      </c>
      <c r="M1749" s="357">
        <v>13.05</v>
      </c>
      <c r="N1749" s="357" t="s">
        <v>135</v>
      </c>
      <c r="O1749" s="357" t="s">
        <v>135</v>
      </c>
      <c r="P1749" s="325"/>
      <c r="Q1749" s="325"/>
      <c r="R1749" s="325">
        <v>28</v>
      </c>
    </row>
    <row r="1750" spans="1:18" ht="48">
      <c r="A1750" s="321">
        <v>64.194999999999993</v>
      </c>
      <c r="B1750" s="314" t="s">
        <v>3086</v>
      </c>
      <c r="C1750" s="322" t="s">
        <v>3087</v>
      </c>
      <c r="D1750" s="323">
        <v>48.41</v>
      </c>
      <c r="E1750" s="323">
        <v>48.41</v>
      </c>
      <c r="F1750" s="323"/>
      <c r="G1750" s="323"/>
      <c r="H1750" s="324">
        <v>631.76</v>
      </c>
      <c r="I1750" s="324">
        <v>631.76</v>
      </c>
      <c r="J1750" s="324"/>
      <c r="K1750" s="324"/>
      <c r="L1750" s="357">
        <v>13.050196240446189</v>
      </c>
      <c r="M1750" s="357">
        <v>13.05</v>
      </c>
      <c r="N1750" s="357" t="s">
        <v>135</v>
      </c>
      <c r="O1750" s="357" t="s">
        <v>135</v>
      </c>
      <c r="P1750" s="325"/>
      <c r="Q1750" s="325"/>
      <c r="R1750" s="325">
        <v>28</v>
      </c>
    </row>
    <row r="1751" spans="1:18" ht="36">
      <c r="A1751" s="326">
        <v>64.195999999999998</v>
      </c>
      <c r="B1751" s="327" t="s">
        <v>3088</v>
      </c>
      <c r="C1751" s="328" t="s">
        <v>3089</v>
      </c>
      <c r="D1751" s="329">
        <v>48.12</v>
      </c>
      <c r="E1751" s="329">
        <v>47.02</v>
      </c>
      <c r="F1751" s="329">
        <v>1.1000000000000001</v>
      </c>
      <c r="G1751" s="329"/>
      <c r="H1751" s="330">
        <v>621.92999999999995</v>
      </c>
      <c r="I1751" s="330">
        <v>613.59</v>
      </c>
      <c r="J1751" s="330">
        <v>8.34</v>
      </c>
      <c r="K1751" s="330"/>
      <c r="L1751" s="356">
        <v>12.924563591022444</v>
      </c>
      <c r="M1751" s="356">
        <v>13.05</v>
      </c>
      <c r="N1751" s="356">
        <v>7.5818181818181811</v>
      </c>
      <c r="O1751" s="356" t="s">
        <v>135</v>
      </c>
      <c r="P1751" s="331"/>
      <c r="Q1751" s="331"/>
      <c r="R1751" s="331">
        <v>28</v>
      </c>
    </row>
    <row r="1752" spans="1:18" ht="12.75">
      <c r="A1752" s="428" t="s">
        <v>3090</v>
      </c>
      <c r="B1752" s="429"/>
      <c r="C1752" s="429"/>
      <c r="D1752" s="429"/>
      <c r="E1752" s="429"/>
      <c r="F1752" s="429"/>
      <c r="G1752" s="429"/>
      <c r="H1752" s="429"/>
      <c r="I1752" s="429"/>
      <c r="J1752" s="429"/>
      <c r="K1752" s="429"/>
      <c r="L1752" s="429"/>
      <c r="M1752" s="429"/>
      <c r="N1752" s="429"/>
      <c r="O1752" s="429"/>
      <c r="P1752" s="429"/>
      <c r="Q1752" s="429"/>
      <c r="R1752" s="429"/>
    </row>
    <row r="1753" spans="1:18" ht="36">
      <c r="A1753" s="321">
        <v>64.197000000000003</v>
      </c>
      <c r="B1753" s="314" t="s">
        <v>3091</v>
      </c>
      <c r="C1753" s="322" t="s">
        <v>3092</v>
      </c>
      <c r="D1753" s="323">
        <v>489.79</v>
      </c>
      <c r="E1753" s="323">
        <v>61.45</v>
      </c>
      <c r="F1753" s="323">
        <v>5.86</v>
      </c>
      <c r="G1753" s="323">
        <v>422.48</v>
      </c>
      <c r="H1753" s="324">
        <v>4883.28</v>
      </c>
      <c r="I1753" s="324">
        <v>801.87</v>
      </c>
      <c r="J1753" s="324">
        <v>44.46</v>
      </c>
      <c r="K1753" s="324">
        <v>4036.95</v>
      </c>
      <c r="L1753" s="357">
        <v>9.9701504726515431</v>
      </c>
      <c r="M1753" s="357">
        <v>13.05</v>
      </c>
      <c r="N1753" s="357">
        <v>7.5870307167235493</v>
      </c>
      <c r="O1753" s="357">
        <v>9.5553635675061539</v>
      </c>
      <c r="P1753" s="325"/>
      <c r="Q1753" s="325"/>
      <c r="R1753" s="325">
        <v>29</v>
      </c>
    </row>
    <row r="1754" spans="1:18" ht="36">
      <c r="A1754" s="321">
        <v>64.197999999999993</v>
      </c>
      <c r="B1754" s="314" t="s">
        <v>3093</v>
      </c>
      <c r="C1754" s="322" t="s">
        <v>3094</v>
      </c>
      <c r="D1754" s="323">
        <v>316.51</v>
      </c>
      <c r="E1754" s="323">
        <v>49.52</v>
      </c>
      <c r="F1754" s="323">
        <v>2.93</v>
      </c>
      <c r="G1754" s="323">
        <v>264.06</v>
      </c>
      <c r="H1754" s="324">
        <v>4124.26</v>
      </c>
      <c r="I1754" s="324">
        <v>646.28</v>
      </c>
      <c r="J1754" s="324">
        <v>22.23</v>
      </c>
      <c r="K1754" s="324">
        <v>3455.75</v>
      </c>
      <c r="L1754" s="357">
        <v>13.03042557897065</v>
      </c>
      <c r="M1754" s="357">
        <v>13.05</v>
      </c>
      <c r="N1754" s="357">
        <v>7.5870307167235493</v>
      </c>
      <c r="O1754" s="357">
        <v>13.086987805801712</v>
      </c>
      <c r="P1754" s="325"/>
      <c r="Q1754" s="325"/>
      <c r="R1754" s="325">
        <v>29</v>
      </c>
    </row>
    <row r="1755" spans="1:18" ht="36">
      <c r="A1755" s="321">
        <v>64.198999999999998</v>
      </c>
      <c r="B1755" s="314" t="s">
        <v>3095</v>
      </c>
      <c r="C1755" s="322" t="s">
        <v>3096</v>
      </c>
      <c r="D1755" s="323">
        <v>6.1</v>
      </c>
      <c r="E1755" s="323">
        <v>6.1</v>
      </c>
      <c r="F1755" s="323"/>
      <c r="G1755" s="323"/>
      <c r="H1755" s="324">
        <v>79.67</v>
      </c>
      <c r="I1755" s="324">
        <v>79.67</v>
      </c>
      <c r="J1755" s="324"/>
      <c r="K1755" s="324"/>
      <c r="L1755" s="357">
        <v>13.06065573770492</v>
      </c>
      <c r="M1755" s="357">
        <v>13.05</v>
      </c>
      <c r="N1755" s="357" t="s">
        <v>135</v>
      </c>
      <c r="O1755" s="357" t="s">
        <v>135</v>
      </c>
      <c r="P1755" s="325"/>
      <c r="Q1755" s="325"/>
      <c r="R1755" s="325">
        <v>29</v>
      </c>
    </row>
    <row r="1756" spans="1:18" ht="36">
      <c r="A1756" s="321">
        <v>64.2</v>
      </c>
      <c r="B1756" s="314" t="s">
        <v>3097</v>
      </c>
      <c r="C1756" s="322" t="s">
        <v>3098</v>
      </c>
      <c r="D1756" s="323">
        <v>24.2</v>
      </c>
      <c r="E1756" s="323">
        <v>24.2</v>
      </c>
      <c r="F1756" s="323"/>
      <c r="G1756" s="323"/>
      <c r="H1756" s="324">
        <v>315.88</v>
      </c>
      <c r="I1756" s="324">
        <v>315.88</v>
      </c>
      <c r="J1756" s="324"/>
      <c r="K1756" s="324"/>
      <c r="L1756" s="357">
        <v>13.052892561983471</v>
      </c>
      <c r="M1756" s="357">
        <v>13.05</v>
      </c>
      <c r="N1756" s="357" t="s">
        <v>135</v>
      </c>
      <c r="O1756" s="357" t="s">
        <v>135</v>
      </c>
      <c r="P1756" s="325"/>
      <c r="Q1756" s="325"/>
      <c r="R1756" s="325">
        <v>29</v>
      </c>
    </row>
    <row r="1757" spans="1:18" ht="48">
      <c r="A1757" s="321">
        <v>64.200999999999993</v>
      </c>
      <c r="B1757" s="314" t="s">
        <v>3099</v>
      </c>
      <c r="C1757" s="322" t="s">
        <v>3100</v>
      </c>
      <c r="D1757" s="323">
        <v>54.73</v>
      </c>
      <c r="E1757" s="323">
        <v>54.73</v>
      </c>
      <c r="F1757" s="323"/>
      <c r="G1757" s="323"/>
      <c r="H1757" s="324">
        <v>714.22</v>
      </c>
      <c r="I1757" s="324">
        <v>714.22</v>
      </c>
      <c r="J1757" s="324"/>
      <c r="K1757" s="324"/>
      <c r="L1757" s="357">
        <v>13.049881235154395</v>
      </c>
      <c r="M1757" s="357">
        <v>13.05</v>
      </c>
      <c r="N1757" s="357" t="s">
        <v>135</v>
      </c>
      <c r="O1757" s="357" t="s">
        <v>135</v>
      </c>
      <c r="P1757" s="325"/>
      <c r="Q1757" s="325"/>
      <c r="R1757" s="325">
        <v>29</v>
      </c>
    </row>
    <row r="1758" spans="1:18" ht="48">
      <c r="A1758" s="321">
        <v>64.201999999999998</v>
      </c>
      <c r="B1758" s="314" t="s">
        <v>3101</v>
      </c>
      <c r="C1758" s="322" t="s">
        <v>3102</v>
      </c>
      <c r="D1758" s="323">
        <v>73.150000000000006</v>
      </c>
      <c r="E1758" s="323">
        <v>73.150000000000006</v>
      </c>
      <c r="F1758" s="323"/>
      <c r="G1758" s="323"/>
      <c r="H1758" s="324">
        <v>954.63</v>
      </c>
      <c r="I1758" s="324">
        <v>954.63</v>
      </c>
      <c r="J1758" s="324"/>
      <c r="K1758" s="324"/>
      <c r="L1758" s="357">
        <v>13.050307587149691</v>
      </c>
      <c r="M1758" s="357">
        <v>13.05</v>
      </c>
      <c r="N1758" s="357" t="s">
        <v>135</v>
      </c>
      <c r="O1758" s="357" t="s">
        <v>135</v>
      </c>
      <c r="P1758" s="325"/>
      <c r="Q1758" s="325"/>
      <c r="R1758" s="325">
        <v>29</v>
      </c>
    </row>
    <row r="1759" spans="1:18" ht="36">
      <c r="A1759" s="326">
        <v>64.203000000000003</v>
      </c>
      <c r="B1759" s="327" t="s">
        <v>3103</v>
      </c>
      <c r="C1759" s="328" t="s">
        <v>3104</v>
      </c>
      <c r="D1759" s="329">
        <v>71.12</v>
      </c>
      <c r="E1759" s="329">
        <v>69.290000000000006</v>
      </c>
      <c r="F1759" s="329">
        <v>1.83</v>
      </c>
      <c r="G1759" s="329"/>
      <c r="H1759" s="330">
        <v>918.21</v>
      </c>
      <c r="I1759" s="330">
        <v>904.31</v>
      </c>
      <c r="J1759" s="330">
        <v>13.9</v>
      </c>
      <c r="K1759" s="330"/>
      <c r="L1759" s="356">
        <v>12.910714285714285</v>
      </c>
      <c r="M1759" s="356">
        <v>13.05</v>
      </c>
      <c r="N1759" s="356">
        <v>7.5956284153005464</v>
      </c>
      <c r="O1759" s="356" t="s">
        <v>135</v>
      </c>
      <c r="P1759" s="331"/>
      <c r="Q1759" s="331"/>
      <c r="R1759" s="331">
        <v>29</v>
      </c>
    </row>
    <row r="1760" spans="1:18" ht="12.75">
      <c r="A1760" s="428" t="s">
        <v>3105</v>
      </c>
      <c r="B1760" s="429"/>
      <c r="C1760" s="429"/>
      <c r="D1760" s="429"/>
      <c r="E1760" s="429"/>
      <c r="F1760" s="429"/>
      <c r="G1760" s="429"/>
      <c r="H1760" s="429"/>
      <c r="I1760" s="429"/>
      <c r="J1760" s="429"/>
      <c r="K1760" s="429"/>
      <c r="L1760" s="429"/>
      <c r="M1760" s="429"/>
      <c r="N1760" s="429"/>
      <c r="O1760" s="429"/>
      <c r="P1760" s="429"/>
      <c r="Q1760" s="429"/>
      <c r="R1760" s="429"/>
    </row>
    <row r="1761" spans="1:18" ht="24">
      <c r="A1761" s="321">
        <v>64.203999999999994</v>
      </c>
      <c r="B1761" s="314" t="s">
        <v>3106</v>
      </c>
      <c r="C1761" s="322" t="s">
        <v>3107</v>
      </c>
      <c r="D1761" s="323">
        <v>47.62</v>
      </c>
      <c r="E1761" s="323">
        <v>18.18</v>
      </c>
      <c r="F1761" s="323">
        <v>0.37</v>
      </c>
      <c r="G1761" s="323">
        <v>29.07</v>
      </c>
      <c r="H1761" s="324">
        <v>599.54</v>
      </c>
      <c r="I1761" s="324">
        <v>237.28</v>
      </c>
      <c r="J1761" s="324">
        <v>2.78</v>
      </c>
      <c r="K1761" s="324">
        <v>359.48</v>
      </c>
      <c r="L1761" s="357">
        <v>12.590088198236035</v>
      </c>
      <c r="M1761" s="357">
        <v>13.05</v>
      </c>
      <c r="N1761" s="357">
        <v>7.5135135135135132</v>
      </c>
      <c r="O1761" s="357">
        <v>12.366013071895425</v>
      </c>
      <c r="P1761" s="325"/>
      <c r="Q1761" s="325"/>
      <c r="R1761" s="325">
        <v>30</v>
      </c>
    </row>
    <row r="1762" spans="1:18" ht="24">
      <c r="A1762" s="321">
        <v>64.204999999999998</v>
      </c>
      <c r="B1762" s="314" t="s">
        <v>3108</v>
      </c>
      <c r="C1762" s="322" t="s">
        <v>3109</v>
      </c>
      <c r="D1762" s="323">
        <v>29.99</v>
      </c>
      <c r="E1762" s="323">
        <v>14.11</v>
      </c>
      <c r="F1762" s="323">
        <v>0.37</v>
      </c>
      <c r="G1762" s="323">
        <v>15.51</v>
      </c>
      <c r="H1762" s="324">
        <v>464.47</v>
      </c>
      <c r="I1762" s="324">
        <v>184.1</v>
      </c>
      <c r="J1762" s="324">
        <v>2.78</v>
      </c>
      <c r="K1762" s="324">
        <v>277.58999999999997</v>
      </c>
      <c r="L1762" s="357">
        <v>15.487495831943983</v>
      </c>
      <c r="M1762" s="357">
        <v>13.05</v>
      </c>
      <c r="N1762" s="357">
        <v>7.5135135135135132</v>
      </c>
      <c r="O1762" s="357">
        <v>17.897485493230171</v>
      </c>
      <c r="P1762" s="325"/>
      <c r="Q1762" s="325"/>
      <c r="R1762" s="325">
        <v>30</v>
      </c>
    </row>
    <row r="1763" spans="1:18" ht="36">
      <c r="A1763" s="321">
        <v>64.206000000000003</v>
      </c>
      <c r="B1763" s="314" t="s">
        <v>3110</v>
      </c>
      <c r="C1763" s="322" t="s">
        <v>3111</v>
      </c>
      <c r="D1763" s="323">
        <v>1.71</v>
      </c>
      <c r="E1763" s="323">
        <v>1.71</v>
      </c>
      <c r="F1763" s="323"/>
      <c r="G1763" s="323"/>
      <c r="H1763" s="324">
        <v>22.36</v>
      </c>
      <c r="I1763" s="324">
        <v>22.36</v>
      </c>
      <c r="J1763" s="324"/>
      <c r="K1763" s="324"/>
      <c r="L1763" s="357">
        <v>13.076023391812866</v>
      </c>
      <c r="M1763" s="357">
        <v>13.05</v>
      </c>
      <c r="N1763" s="357" t="s">
        <v>135</v>
      </c>
      <c r="O1763" s="357" t="s">
        <v>135</v>
      </c>
      <c r="P1763" s="325"/>
      <c r="Q1763" s="325"/>
      <c r="R1763" s="325">
        <v>30</v>
      </c>
    </row>
    <row r="1764" spans="1:18" ht="36">
      <c r="A1764" s="321">
        <v>64.206999999999994</v>
      </c>
      <c r="B1764" s="314" t="s">
        <v>3112</v>
      </c>
      <c r="C1764" s="322" t="s">
        <v>3113</v>
      </c>
      <c r="D1764" s="323">
        <v>6.53</v>
      </c>
      <c r="E1764" s="323">
        <v>6.53</v>
      </c>
      <c r="F1764" s="323"/>
      <c r="G1764" s="323"/>
      <c r="H1764" s="324">
        <v>85.26</v>
      </c>
      <c r="I1764" s="324">
        <v>85.26</v>
      </c>
      <c r="J1764" s="324"/>
      <c r="K1764" s="324"/>
      <c r="L1764" s="357">
        <v>13.056661562021439</v>
      </c>
      <c r="M1764" s="357">
        <v>13.05</v>
      </c>
      <c r="N1764" s="357" t="s">
        <v>135</v>
      </c>
      <c r="O1764" s="357" t="s">
        <v>135</v>
      </c>
      <c r="P1764" s="325"/>
      <c r="Q1764" s="325"/>
      <c r="R1764" s="325">
        <v>30</v>
      </c>
    </row>
    <row r="1765" spans="1:18" ht="48">
      <c r="A1765" s="321">
        <v>64.207999999999998</v>
      </c>
      <c r="B1765" s="314" t="s">
        <v>3114</v>
      </c>
      <c r="C1765" s="322" t="s">
        <v>3115</v>
      </c>
      <c r="D1765" s="323">
        <v>13.98</v>
      </c>
      <c r="E1765" s="323">
        <v>13.98</v>
      </c>
      <c r="F1765" s="323"/>
      <c r="G1765" s="323"/>
      <c r="H1765" s="324">
        <v>182.48</v>
      </c>
      <c r="I1765" s="324">
        <v>182.48</v>
      </c>
      <c r="J1765" s="324"/>
      <c r="K1765" s="324"/>
      <c r="L1765" s="357">
        <v>13.052932761087266</v>
      </c>
      <c r="M1765" s="357">
        <v>13.05</v>
      </c>
      <c r="N1765" s="357" t="s">
        <v>135</v>
      </c>
      <c r="O1765" s="357" t="s">
        <v>135</v>
      </c>
      <c r="P1765" s="325"/>
      <c r="Q1765" s="325"/>
      <c r="R1765" s="325">
        <v>30</v>
      </c>
    </row>
    <row r="1766" spans="1:18" ht="48">
      <c r="A1766" s="321">
        <v>64.209000000000003</v>
      </c>
      <c r="B1766" s="314" t="s">
        <v>3116</v>
      </c>
      <c r="C1766" s="322" t="s">
        <v>3117</v>
      </c>
      <c r="D1766" s="323">
        <v>19.079999999999998</v>
      </c>
      <c r="E1766" s="323">
        <v>19.079999999999998</v>
      </c>
      <c r="F1766" s="323"/>
      <c r="G1766" s="323"/>
      <c r="H1766" s="324">
        <v>248.97</v>
      </c>
      <c r="I1766" s="324">
        <v>248.97</v>
      </c>
      <c r="J1766" s="324"/>
      <c r="K1766" s="324"/>
      <c r="L1766" s="357">
        <v>13.048742138364782</v>
      </c>
      <c r="M1766" s="357">
        <v>13.05</v>
      </c>
      <c r="N1766" s="357" t="s">
        <v>135</v>
      </c>
      <c r="O1766" s="357" t="s">
        <v>135</v>
      </c>
      <c r="P1766" s="325"/>
      <c r="Q1766" s="325"/>
      <c r="R1766" s="325">
        <v>30</v>
      </c>
    </row>
    <row r="1767" spans="1:18" ht="36">
      <c r="A1767" s="326">
        <v>64.209999999999994</v>
      </c>
      <c r="B1767" s="327" t="s">
        <v>3118</v>
      </c>
      <c r="C1767" s="328" t="s">
        <v>3119</v>
      </c>
      <c r="D1767" s="329">
        <v>17.989999999999998</v>
      </c>
      <c r="E1767" s="329">
        <v>17.989999999999998</v>
      </c>
      <c r="F1767" s="329"/>
      <c r="G1767" s="329"/>
      <c r="H1767" s="330">
        <v>234.82</v>
      </c>
      <c r="I1767" s="330">
        <v>234.82</v>
      </c>
      <c r="J1767" s="330"/>
      <c r="K1767" s="330"/>
      <c r="L1767" s="356">
        <v>13.052807115063926</v>
      </c>
      <c r="M1767" s="356">
        <v>13.05</v>
      </c>
      <c r="N1767" s="356" t="s">
        <v>135</v>
      </c>
      <c r="O1767" s="356" t="s">
        <v>135</v>
      </c>
      <c r="P1767" s="331"/>
      <c r="Q1767" s="331"/>
      <c r="R1767" s="331">
        <v>30</v>
      </c>
    </row>
    <row r="1768" spans="1:18" ht="12.75">
      <c r="A1768" s="428" t="s">
        <v>3120</v>
      </c>
      <c r="B1768" s="429"/>
      <c r="C1768" s="429"/>
      <c r="D1768" s="429"/>
      <c r="E1768" s="429"/>
      <c r="F1768" s="429"/>
      <c r="G1768" s="429"/>
      <c r="H1768" s="429"/>
      <c r="I1768" s="429"/>
      <c r="J1768" s="429"/>
      <c r="K1768" s="429"/>
      <c r="L1768" s="429"/>
      <c r="M1768" s="429"/>
      <c r="N1768" s="429"/>
      <c r="O1768" s="429"/>
      <c r="P1768" s="429"/>
      <c r="Q1768" s="429"/>
      <c r="R1768" s="429"/>
    </row>
    <row r="1769" spans="1:18" ht="24">
      <c r="A1769" s="321">
        <v>64.210999999999999</v>
      </c>
      <c r="B1769" s="314" t="s">
        <v>3121</v>
      </c>
      <c r="C1769" s="322" t="s">
        <v>3122</v>
      </c>
      <c r="D1769" s="323">
        <v>216.28</v>
      </c>
      <c r="E1769" s="323">
        <v>29.78</v>
      </c>
      <c r="F1769" s="323">
        <v>0.37</v>
      </c>
      <c r="G1769" s="323">
        <v>186.13</v>
      </c>
      <c r="H1769" s="324">
        <v>2682.9</v>
      </c>
      <c r="I1769" s="324">
        <v>388.65</v>
      </c>
      <c r="J1769" s="324">
        <v>2.78</v>
      </c>
      <c r="K1769" s="324">
        <v>2291.4699999999998</v>
      </c>
      <c r="L1769" s="357">
        <v>12.404753097836139</v>
      </c>
      <c r="M1769" s="357">
        <v>13.05</v>
      </c>
      <c r="N1769" s="357">
        <v>7.5135135135135132</v>
      </c>
      <c r="O1769" s="357">
        <v>12.311126631923923</v>
      </c>
      <c r="P1769" s="325"/>
      <c r="Q1769" s="325"/>
      <c r="R1769" s="325">
        <v>31</v>
      </c>
    </row>
    <row r="1770" spans="1:18" ht="24">
      <c r="A1770" s="321">
        <v>64.212000000000003</v>
      </c>
      <c r="B1770" s="314" t="s">
        <v>3123</v>
      </c>
      <c r="C1770" s="322" t="s">
        <v>3124</v>
      </c>
      <c r="D1770" s="323">
        <v>52.15</v>
      </c>
      <c r="E1770" s="323">
        <v>22.89</v>
      </c>
      <c r="F1770" s="323">
        <v>0.37</v>
      </c>
      <c r="G1770" s="323">
        <v>28.89</v>
      </c>
      <c r="H1770" s="324">
        <v>818.59</v>
      </c>
      <c r="I1770" s="324">
        <v>298.64999999999998</v>
      </c>
      <c r="J1770" s="324">
        <v>2.78</v>
      </c>
      <c r="K1770" s="324">
        <v>517.16</v>
      </c>
      <c r="L1770" s="357">
        <v>15.696836049856184</v>
      </c>
      <c r="M1770" s="357">
        <v>13.05</v>
      </c>
      <c r="N1770" s="357">
        <v>7.5135135135135132</v>
      </c>
      <c r="O1770" s="357">
        <v>17.901003807545862</v>
      </c>
      <c r="P1770" s="325"/>
      <c r="Q1770" s="325"/>
      <c r="R1770" s="325">
        <v>31</v>
      </c>
    </row>
    <row r="1771" spans="1:18" ht="36">
      <c r="A1771" s="321">
        <v>64.212999999999994</v>
      </c>
      <c r="B1771" s="314" t="s">
        <v>3125</v>
      </c>
      <c r="C1771" s="322" t="s">
        <v>3126</v>
      </c>
      <c r="D1771" s="323">
        <v>2.36</v>
      </c>
      <c r="E1771" s="323">
        <v>2.36</v>
      </c>
      <c r="F1771" s="323"/>
      <c r="G1771" s="323"/>
      <c r="H1771" s="324">
        <v>30.75</v>
      </c>
      <c r="I1771" s="324">
        <v>30.75</v>
      </c>
      <c r="J1771" s="324"/>
      <c r="K1771" s="324"/>
      <c r="L1771" s="357">
        <v>13.029661016949154</v>
      </c>
      <c r="M1771" s="357">
        <v>13.05</v>
      </c>
      <c r="N1771" s="357" t="s">
        <v>135</v>
      </c>
      <c r="O1771" s="357" t="s">
        <v>135</v>
      </c>
      <c r="P1771" s="325"/>
      <c r="Q1771" s="325"/>
      <c r="R1771" s="325">
        <v>31</v>
      </c>
    </row>
    <row r="1772" spans="1:18" ht="36">
      <c r="A1772" s="321">
        <v>64.213999999999999</v>
      </c>
      <c r="B1772" s="314" t="s">
        <v>3127</v>
      </c>
      <c r="C1772" s="322" t="s">
        <v>3128</v>
      </c>
      <c r="D1772" s="323">
        <v>9.32</v>
      </c>
      <c r="E1772" s="323">
        <v>9.32</v>
      </c>
      <c r="F1772" s="323"/>
      <c r="G1772" s="323"/>
      <c r="H1772" s="324">
        <v>121.6</v>
      </c>
      <c r="I1772" s="324">
        <v>121.6</v>
      </c>
      <c r="J1772" s="324"/>
      <c r="K1772" s="324"/>
      <c r="L1772" s="357">
        <v>13.047210300429184</v>
      </c>
      <c r="M1772" s="357">
        <v>13.05</v>
      </c>
      <c r="N1772" s="357" t="s">
        <v>135</v>
      </c>
      <c r="O1772" s="357" t="s">
        <v>135</v>
      </c>
      <c r="P1772" s="325"/>
      <c r="Q1772" s="325"/>
      <c r="R1772" s="325">
        <v>31</v>
      </c>
    </row>
    <row r="1773" spans="1:18" ht="48">
      <c r="A1773" s="321">
        <v>64.215000000000003</v>
      </c>
      <c r="B1773" s="314" t="s">
        <v>3129</v>
      </c>
      <c r="C1773" s="322" t="s">
        <v>3130</v>
      </c>
      <c r="D1773" s="323">
        <v>19.399999999999999</v>
      </c>
      <c r="E1773" s="323">
        <v>19.399999999999999</v>
      </c>
      <c r="F1773" s="323"/>
      <c r="G1773" s="323"/>
      <c r="H1773" s="324">
        <v>253.21</v>
      </c>
      <c r="I1773" s="324">
        <v>253.21</v>
      </c>
      <c r="J1773" s="324"/>
      <c r="K1773" s="324"/>
      <c r="L1773" s="357">
        <v>13.052061855670104</v>
      </c>
      <c r="M1773" s="357">
        <v>13.05</v>
      </c>
      <c r="N1773" s="357" t="s">
        <v>135</v>
      </c>
      <c r="O1773" s="357" t="s">
        <v>135</v>
      </c>
      <c r="P1773" s="325"/>
      <c r="Q1773" s="325"/>
      <c r="R1773" s="325">
        <v>31</v>
      </c>
    </row>
    <row r="1774" spans="1:18" ht="48">
      <c r="A1774" s="321">
        <v>64.215999999999994</v>
      </c>
      <c r="B1774" s="314" t="s">
        <v>3131</v>
      </c>
      <c r="C1774" s="322" t="s">
        <v>3132</v>
      </c>
      <c r="D1774" s="323">
        <v>26.34</v>
      </c>
      <c r="E1774" s="323">
        <v>26.34</v>
      </c>
      <c r="F1774" s="323"/>
      <c r="G1774" s="323"/>
      <c r="H1774" s="324">
        <v>343.75</v>
      </c>
      <c r="I1774" s="324">
        <v>343.75</v>
      </c>
      <c r="J1774" s="324"/>
      <c r="K1774" s="324"/>
      <c r="L1774" s="357">
        <v>13.050493545937737</v>
      </c>
      <c r="M1774" s="357">
        <v>13.05</v>
      </c>
      <c r="N1774" s="357" t="s">
        <v>135</v>
      </c>
      <c r="O1774" s="357" t="s">
        <v>135</v>
      </c>
      <c r="P1774" s="325"/>
      <c r="Q1774" s="325"/>
      <c r="R1774" s="325">
        <v>31</v>
      </c>
    </row>
    <row r="1775" spans="1:18" ht="36">
      <c r="A1775" s="326">
        <v>64.216999999999999</v>
      </c>
      <c r="B1775" s="327" t="s">
        <v>3133</v>
      </c>
      <c r="C1775" s="328" t="s">
        <v>3134</v>
      </c>
      <c r="D1775" s="329">
        <v>25.47</v>
      </c>
      <c r="E1775" s="329">
        <v>25.47</v>
      </c>
      <c r="F1775" s="329"/>
      <c r="G1775" s="329"/>
      <c r="H1775" s="330">
        <v>332.43</v>
      </c>
      <c r="I1775" s="330">
        <v>332.43</v>
      </c>
      <c r="J1775" s="330"/>
      <c r="K1775" s="330"/>
      <c r="L1775" s="356">
        <v>13.051825677267374</v>
      </c>
      <c r="M1775" s="356">
        <v>13.05</v>
      </c>
      <c r="N1775" s="356" t="s">
        <v>135</v>
      </c>
      <c r="O1775" s="356" t="s">
        <v>135</v>
      </c>
      <c r="P1775" s="331"/>
      <c r="Q1775" s="331"/>
      <c r="R1775" s="331">
        <v>31</v>
      </c>
    </row>
    <row r="1776" spans="1:18" ht="12.75">
      <c r="A1776" s="428" t="s">
        <v>3135</v>
      </c>
      <c r="B1776" s="429"/>
      <c r="C1776" s="429"/>
      <c r="D1776" s="429"/>
      <c r="E1776" s="429"/>
      <c r="F1776" s="429"/>
      <c r="G1776" s="429"/>
      <c r="H1776" s="429"/>
      <c r="I1776" s="429"/>
      <c r="J1776" s="429"/>
      <c r="K1776" s="429"/>
      <c r="L1776" s="429"/>
      <c r="M1776" s="429"/>
      <c r="N1776" s="429"/>
      <c r="O1776" s="429"/>
      <c r="P1776" s="429"/>
      <c r="Q1776" s="429"/>
      <c r="R1776" s="429"/>
    </row>
    <row r="1777" spans="1:18" ht="24">
      <c r="A1777" s="321">
        <v>64.218000000000004</v>
      </c>
      <c r="B1777" s="314" t="s">
        <v>3136</v>
      </c>
      <c r="C1777" s="322" t="s">
        <v>3137</v>
      </c>
      <c r="D1777" s="323">
        <v>226.63</v>
      </c>
      <c r="E1777" s="323">
        <v>39.4</v>
      </c>
      <c r="F1777" s="323">
        <v>1.1000000000000001</v>
      </c>
      <c r="G1777" s="323">
        <v>186.13</v>
      </c>
      <c r="H1777" s="324">
        <v>2816.94</v>
      </c>
      <c r="I1777" s="324">
        <v>514.11</v>
      </c>
      <c r="J1777" s="324">
        <v>8.34</v>
      </c>
      <c r="K1777" s="324">
        <v>2294.4899999999998</v>
      </c>
      <c r="L1777" s="357">
        <v>12.429687155275118</v>
      </c>
      <c r="M1777" s="357">
        <v>13.05</v>
      </c>
      <c r="N1777" s="357">
        <v>7.5818181818181811</v>
      </c>
      <c r="O1777" s="357">
        <v>12.327351850856926</v>
      </c>
      <c r="P1777" s="325"/>
      <c r="Q1777" s="325"/>
      <c r="R1777" s="325">
        <v>32</v>
      </c>
    </row>
    <row r="1778" spans="1:18" ht="24">
      <c r="A1778" s="321">
        <v>64.218999999999994</v>
      </c>
      <c r="B1778" s="314" t="s">
        <v>3138</v>
      </c>
      <c r="C1778" s="322" t="s">
        <v>3139</v>
      </c>
      <c r="D1778" s="323">
        <v>58.25</v>
      </c>
      <c r="E1778" s="323">
        <v>28.63</v>
      </c>
      <c r="F1778" s="323">
        <v>0.73</v>
      </c>
      <c r="G1778" s="323">
        <v>28.89</v>
      </c>
      <c r="H1778" s="324">
        <v>898.59</v>
      </c>
      <c r="I1778" s="324">
        <v>373.65</v>
      </c>
      <c r="J1778" s="324">
        <v>5.56</v>
      </c>
      <c r="K1778" s="324">
        <v>519.38</v>
      </c>
      <c r="L1778" s="357">
        <v>15.426437768240344</v>
      </c>
      <c r="M1778" s="357">
        <v>13.05</v>
      </c>
      <c r="N1778" s="357">
        <v>7.6164383561643829</v>
      </c>
      <c r="O1778" s="357">
        <v>17.977847005884389</v>
      </c>
      <c r="P1778" s="325"/>
      <c r="Q1778" s="325"/>
      <c r="R1778" s="325">
        <v>32</v>
      </c>
    </row>
    <row r="1779" spans="1:18" ht="36">
      <c r="A1779" s="321">
        <v>64.22</v>
      </c>
      <c r="B1779" s="314" t="s">
        <v>3140</v>
      </c>
      <c r="C1779" s="322" t="s">
        <v>3141</v>
      </c>
      <c r="D1779" s="323">
        <v>3</v>
      </c>
      <c r="E1779" s="323">
        <v>3</v>
      </c>
      <c r="F1779" s="323"/>
      <c r="G1779" s="323"/>
      <c r="H1779" s="324">
        <v>39.14</v>
      </c>
      <c r="I1779" s="324">
        <v>39.14</v>
      </c>
      <c r="J1779" s="324"/>
      <c r="K1779" s="324"/>
      <c r="L1779" s="357">
        <v>13.046666666666667</v>
      </c>
      <c r="M1779" s="357">
        <v>13.05</v>
      </c>
      <c r="N1779" s="357" t="s">
        <v>135</v>
      </c>
      <c r="O1779" s="357" t="s">
        <v>135</v>
      </c>
      <c r="P1779" s="325"/>
      <c r="Q1779" s="325"/>
      <c r="R1779" s="325">
        <v>32</v>
      </c>
    </row>
    <row r="1780" spans="1:18" ht="36">
      <c r="A1780" s="321">
        <v>64.221000000000004</v>
      </c>
      <c r="B1780" s="314" t="s">
        <v>3142</v>
      </c>
      <c r="C1780" s="322" t="s">
        <v>3143</v>
      </c>
      <c r="D1780" s="323">
        <v>12.1</v>
      </c>
      <c r="E1780" s="323">
        <v>12.1</v>
      </c>
      <c r="F1780" s="323"/>
      <c r="G1780" s="323"/>
      <c r="H1780" s="324">
        <v>157.94</v>
      </c>
      <c r="I1780" s="324">
        <v>157.94</v>
      </c>
      <c r="J1780" s="324"/>
      <c r="K1780" s="324"/>
      <c r="L1780" s="357">
        <v>13.052892561983471</v>
      </c>
      <c r="M1780" s="357">
        <v>13.05</v>
      </c>
      <c r="N1780" s="357" t="s">
        <v>135</v>
      </c>
      <c r="O1780" s="357" t="s">
        <v>135</v>
      </c>
      <c r="P1780" s="325"/>
      <c r="Q1780" s="325"/>
      <c r="R1780" s="325">
        <v>32</v>
      </c>
    </row>
    <row r="1781" spans="1:18" ht="48">
      <c r="A1781" s="321">
        <v>64.221999999999994</v>
      </c>
      <c r="B1781" s="314" t="s">
        <v>3144</v>
      </c>
      <c r="C1781" s="322" t="s">
        <v>3145</v>
      </c>
      <c r="D1781" s="323">
        <v>24.72</v>
      </c>
      <c r="E1781" s="323">
        <v>24.72</v>
      </c>
      <c r="F1781" s="323"/>
      <c r="G1781" s="323"/>
      <c r="H1781" s="324">
        <v>322.52999999999997</v>
      </c>
      <c r="I1781" s="324">
        <v>322.52999999999997</v>
      </c>
      <c r="J1781" s="324"/>
      <c r="K1781" s="324"/>
      <c r="L1781" s="357">
        <v>13.047330097087379</v>
      </c>
      <c r="M1781" s="357">
        <v>13.05</v>
      </c>
      <c r="N1781" s="357" t="s">
        <v>135</v>
      </c>
      <c r="O1781" s="357" t="s">
        <v>135</v>
      </c>
      <c r="P1781" s="325"/>
      <c r="Q1781" s="325"/>
      <c r="R1781" s="325">
        <v>32</v>
      </c>
    </row>
    <row r="1782" spans="1:18" ht="48">
      <c r="A1782" s="321">
        <v>64.222999999999999</v>
      </c>
      <c r="B1782" s="314" t="s">
        <v>3146</v>
      </c>
      <c r="C1782" s="322" t="s">
        <v>3147</v>
      </c>
      <c r="D1782" s="323">
        <v>33.17</v>
      </c>
      <c r="E1782" s="323">
        <v>33.17</v>
      </c>
      <c r="F1782" s="323"/>
      <c r="G1782" s="323"/>
      <c r="H1782" s="324">
        <v>432.87</v>
      </c>
      <c r="I1782" s="324">
        <v>432.87</v>
      </c>
      <c r="J1782" s="324"/>
      <c r="K1782" s="324"/>
      <c r="L1782" s="357">
        <v>13.050045221585769</v>
      </c>
      <c r="M1782" s="357">
        <v>13.05</v>
      </c>
      <c r="N1782" s="357" t="s">
        <v>135</v>
      </c>
      <c r="O1782" s="357" t="s">
        <v>135</v>
      </c>
      <c r="P1782" s="325"/>
      <c r="Q1782" s="325"/>
      <c r="R1782" s="325">
        <v>32</v>
      </c>
    </row>
    <row r="1783" spans="1:18" ht="36">
      <c r="A1783" s="326">
        <v>64.224000000000004</v>
      </c>
      <c r="B1783" s="327" t="s">
        <v>3148</v>
      </c>
      <c r="C1783" s="328" t="s">
        <v>3149</v>
      </c>
      <c r="D1783" s="329">
        <v>33.17</v>
      </c>
      <c r="E1783" s="329">
        <v>33.17</v>
      </c>
      <c r="F1783" s="329"/>
      <c r="G1783" s="329"/>
      <c r="H1783" s="330">
        <v>432.87</v>
      </c>
      <c r="I1783" s="330">
        <v>432.87</v>
      </c>
      <c r="J1783" s="330"/>
      <c r="K1783" s="330"/>
      <c r="L1783" s="356">
        <v>13.050045221585769</v>
      </c>
      <c r="M1783" s="356">
        <v>13.05</v>
      </c>
      <c r="N1783" s="356" t="s">
        <v>135</v>
      </c>
      <c r="O1783" s="356" t="s">
        <v>135</v>
      </c>
      <c r="P1783" s="331"/>
      <c r="Q1783" s="331"/>
      <c r="R1783" s="331">
        <v>32</v>
      </c>
    </row>
    <row r="1784" spans="1:18" ht="12.75">
      <c r="A1784" s="428" t="s">
        <v>3150</v>
      </c>
      <c r="B1784" s="429"/>
      <c r="C1784" s="429"/>
      <c r="D1784" s="429"/>
      <c r="E1784" s="429"/>
      <c r="F1784" s="429"/>
      <c r="G1784" s="429"/>
      <c r="H1784" s="429"/>
      <c r="I1784" s="429"/>
      <c r="J1784" s="429"/>
      <c r="K1784" s="429"/>
      <c r="L1784" s="429"/>
      <c r="M1784" s="429"/>
      <c r="N1784" s="429"/>
      <c r="O1784" s="429"/>
      <c r="P1784" s="429"/>
      <c r="Q1784" s="429"/>
      <c r="R1784" s="429"/>
    </row>
    <row r="1785" spans="1:18" ht="24">
      <c r="A1785" s="321">
        <v>64.224999999999994</v>
      </c>
      <c r="B1785" s="314" t="s">
        <v>3151</v>
      </c>
      <c r="C1785" s="322" t="s">
        <v>3152</v>
      </c>
      <c r="D1785" s="323">
        <v>392.32</v>
      </c>
      <c r="E1785" s="323">
        <v>49.22</v>
      </c>
      <c r="F1785" s="323">
        <v>1.83</v>
      </c>
      <c r="G1785" s="323">
        <v>341.27</v>
      </c>
      <c r="H1785" s="324">
        <v>4887.8500000000004</v>
      </c>
      <c r="I1785" s="324">
        <v>642.29999999999995</v>
      </c>
      <c r="J1785" s="324">
        <v>13.9</v>
      </c>
      <c r="K1785" s="324">
        <v>4231.6499999999996</v>
      </c>
      <c r="L1785" s="357">
        <v>12.458834624796086</v>
      </c>
      <c r="M1785" s="357">
        <v>13.05</v>
      </c>
      <c r="N1785" s="357">
        <v>7.5956284153005464</v>
      </c>
      <c r="O1785" s="357">
        <v>12.399712837342866</v>
      </c>
      <c r="P1785" s="325"/>
      <c r="Q1785" s="325"/>
      <c r="R1785" s="325">
        <v>33</v>
      </c>
    </row>
    <row r="1786" spans="1:18" ht="24">
      <c r="A1786" s="321">
        <v>64.225999999999999</v>
      </c>
      <c r="B1786" s="314" t="s">
        <v>3153</v>
      </c>
      <c r="C1786" s="322" t="s">
        <v>3154</v>
      </c>
      <c r="D1786" s="323">
        <v>118.38</v>
      </c>
      <c r="E1786" s="323">
        <v>36.369999999999997</v>
      </c>
      <c r="F1786" s="323">
        <v>1.1000000000000001</v>
      </c>
      <c r="G1786" s="323">
        <v>80.91</v>
      </c>
      <c r="H1786" s="324">
        <v>1942.75</v>
      </c>
      <c r="I1786" s="324">
        <v>474.57</v>
      </c>
      <c r="J1786" s="324">
        <v>8.34</v>
      </c>
      <c r="K1786" s="324">
        <v>1459.84</v>
      </c>
      <c r="L1786" s="357">
        <v>16.411133637438756</v>
      </c>
      <c r="M1786" s="357">
        <v>13.05</v>
      </c>
      <c r="N1786" s="357">
        <v>7.5818181818181811</v>
      </c>
      <c r="O1786" s="357">
        <v>18.042763564454333</v>
      </c>
      <c r="P1786" s="325"/>
      <c r="Q1786" s="325"/>
      <c r="R1786" s="325">
        <v>33</v>
      </c>
    </row>
    <row r="1787" spans="1:18" ht="36">
      <c r="A1787" s="321">
        <v>64.227000000000004</v>
      </c>
      <c r="B1787" s="314" t="s">
        <v>3155</v>
      </c>
      <c r="C1787" s="322" t="s">
        <v>3156</v>
      </c>
      <c r="D1787" s="323">
        <v>3.64</v>
      </c>
      <c r="E1787" s="323">
        <v>3.64</v>
      </c>
      <c r="F1787" s="323"/>
      <c r="G1787" s="323"/>
      <c r="H1787" s="324">
        <v>47.52</v>
      </c>
      <c r="I1787" s="324">
        <v>47.52</v>
      </c>
      <c r="J1787" s="324"/>
      <c r="K1787" s="324"/>
      <c r="L1787" s="357">
        <v>13.054945054945055</v>
      </c>
      <c r="M1787" s="357">
        <v>13.05</v>
      </c>
      <c r="N1787" s="357" t="s">
        <v>135</v>
      </c>
      <c r="O1787" s="357" t="s">
        <v>135</v>
      </c>
      <c r="P1787" s="325"/>
      <c r="Q1787" s="325"/>
      <c r="R1787" s="325">
        <v>33</v>
      </c>
    </row>
    <row r="1788" spans="1:18" ht="36">
      <c r="A1788" s="321">
        <v>64.227999999999994</v>
      </c>
      <c r="B1788" s="314" t="s">
        <v>3157</v>
      </c>
      <c r="C1788" s="322" t="s">
        <v>3158</v>
      </c>
      <c r="D1788" s="323">
        <v>14.78</v>
      </c>
      <c r="E1788" s="323">
        <v>14.78</v>
      </c>
      <c r="F1788" s="323"/>
      <c r="G1788" s="323"/>
      <c r="H1788" s="324">
        <v>192.88</v>
      </c>
      <c r="I1788" s="324">
        <v>192.88</v>
      </c>
      <c r="J1788" s="324"/>
      <c r="K1788" s="324"/>
      <c r="L1788" s="357">
        <v>13.050067658998648</v>
      </c>
      <c r="M1788" s="357">
        <v>13.05</v>
      </c>
      <c r="N1788" s="357" t="s">
        <v>135</v>
      </c>
      <c r="O1788" s="357" t="s">
        <v>135</v>
      </c>
      <c r="P1788" s="325"/>
      <c r="Q1788" s="325"/>
      <c r="R1788" s="325">
        <v>33</v>
      </c>
    </row>
    <row r="1789" spans="1:18" ht="48">
      <c r="A1789" s="321">
        <v>64.228999999999999</v>
      </c>
      <c r="B1789" s="314" t="s">
        <v>3159</v>
      </c>
      <c r="C1789" s="322" t="s">
        <v>3160</v>
      </c>
      <c r="D1789" s="323">
        <v>30.14</v>
      </c>
      <c r="E1789" s="323">
        <v>30.14</v>
      </c>
      <c r="F1789" s="323"/>
      <c r="G1789" s="323"/>
      <c r="H1789" s="324">
        <v>393.26</v>
      </c>
      <c r="I1789" s="324">
        <v>393.26</v>
      </c>
      <c r="J1789" s="324"/>
      <c r="K1789" s="324"/>
      <c r="L1789" s="357">
        <v>13.04777704047777</v>
      </c>
      <c r="M1789" s="357">
        <v>13.05</v>
      </c>
      <c r="N1789" s="357" t="s">
        <v>135</v>
      </c>
      <c r="O1789" s="357" t="s">
        <v>135</v>
      </c>
      <c r="P1789" s="325"/>
      <c r="Q1789" s="325"/>
      <c r="R1789" s="325">
        <v>33</v>
      </c>
    </row>
    <row r="1790" spans="1:18" ht="48">
      <c r="A1790" s="321">
        <v>64.23</v>
      </c>
      <c r="B1790" s="314" t="s">
        <v>3161</v>
      </c>
      <c r="C1790" s="322" t="s">
        <v>3162</v>
      </c>
      <c r="D1790" s="323">
        <v>40.98</v>
      </c>
      <c r="E1790" s="323">
        <v>40.98</v>
      </c>
      <c r="F1790" s="323"/>
      <c r="G1790" s="323"/>
      <c r="H1790" s="324">
        <v>534.72</v>
      </c>
      <c r="I1790" s="324">
        <v>534.72</v>
      </c>
      <c r="J1790" s="324"/>
      <c r="K1790" s="324"/>
      <c r="L1790" s="357">
        <v>13.048316251830162</v>
      </c>
      <c r="M1790" s="357">
        <v>13.05</v>
      </c>
      <c r="N1790" s="357" t="s">
        <v>135</v>
      </c>
      <c r="O1790" s="357" t="s">
        <v>135</v>
      </c>
      <c r="P1790" s="325"/>
      <c r="Q1790" s="325"/>
      <c r="R1790" s="325">
        <v>33</v>
      </c>
    </row>
    <row r="1791" spans="1:18" ht="36">
      <c r="A1791" s="326">
        <v>64.230999999999995</v>
      </c>
      <c r="B1791" s="327" t="s">
        <v>3163</v>
      </c>
      <c r="C1791" s="328" t="s">
        <v>3164</v>
      </c>
      <c r="D1791" s="329">
        <v>40.98</v>
      </c>
      <c r="E1791" s="329">
        <v>40.98</v>
      </c>
      <c r="F1791" s="329"/>
      <c r="G1791" s="329"/>
      <c r="H1791" s="330">
        <v>534.72</v>
      </c>
      <c r="I1791" s="330">
        <v>534.72</v>
      </c>
      <c r="J1791" s="330"/>
      <c r="K1791" s="330"/>
      <c r="L1791" s="356">
        <v>13.048316251830162</v>
      </c>
      <c r="M1791" s="356">
        <v>13.05</v>
      </c>
      <c r="N1791" s="356" t="s">
        <v>135</v>
      </c>
      <c r="O1791" s="356" t="s">
        <v>135</v>
      </c>
      <c r="P1791" s="331"/>
      <c r="Q1791" s="331"/>
      <c r="R1791" s="331">
        <v>33</v>
      </c>
    </row>
    <row r="1792" spans="1:18" ht="12.75">
      <c r="A1792" s="428" t="s">
        <v>3165</v>
      </c>
      <c r="B1792" s="429"/>
      <c r="C1792" s="429"/>
      <c r="D1792" s="429"/>
      <c r="E1792" s="429"/>
      <c r="F1792" s="429"/>
      <c r="G1792" s="429"/>
      <c r="H1792" s="429"/>
      <c r="I1792" s="429"/>
      <c r="J1792" s="429"/>
      <c r="K1792" s="429"/>
      <c r="L1792" s="429"/>
      <c r="M1792" s="429"/>
      <c r="N1792" s="429"/>
      <c r="O1792" s="429"/>
      <c r="P1792" s="429"/>
      <c r="Q1792" s="429"/>
      <c r="R1792" s="429"/>
    </row>
    <row r="1793" spans="1:18" ht="24">
      <c r="A1793" s="321">
        <v>64.231999999999999</v>
      </c>
      <c r="B1793" s="314" t="s">
        <v>3166</v>
      </c>
      <c r="C1793" s="322" t="s">
        <v>3167</v>
      </c>
      <c r="D1793" s="323">
        <v>42.33</v>
      </c>
      <c r="E1793" s="323">
        <v>20.85</v>
      </c>
      <c r="F1793" s="323"/>
      <c r="G1793" s="323">
        <v>21.48</v>
      </c>
      <c r="H1793" s="324">
        <v>449.94</v>
      </c>
      <c r="I1793" s="324">
        <v>272.05</v>
      </c>
      <c r="J1793" s="324"/>
      <c r="K1793" s="324">
        <v>177.89</v>
      </c>
      <c r="L1793" s="357">
        <v>10.6293408929837</v>
      </c>
      <c r="M1793" s="357">
        <v>13.05</v>
      </c>
      <c r="N1793" s="357" t="s">
        <v>135</v>
      </c>
      <c r="O1793" s="357">
        <v>8.2816573556797017</v>
      </c>
      <c r="P1793" s="325"/>
      <c r="Q1793" s="325"/>
      <c r="R1793" s="325">
        <v>34</v>
      </c>
    </row>
    <row r="1794" spans="1:18" ht="24">
      <c r="A1794" s="321">
        <v>64.233000000000004</v>
      </c>
      <c r="B1794" s="314" t="s">
        <v>3168</v>
      </c>
      <c r="C1794" s="322" t="s">
        <v>3169</v>
      </c>
      <c r="D1794" s="323">
        <v>27.51</v>
      </c>
      <c r="E1794" s="323">
        <v>15.79</v>
      </c>
      <c r="F1794" s="323"/>
      <c r="G1794" s="323">
        <v>11.72</v>
      </c>
      <c r="H1794" s="324">
        <v>348.41</v>
      </c>
      <c r="I1794" s="324">
        <v>206.06</v>
      </c>
      <c r="J1794" s="324"/>
      <c r="K1794" s="324">
        <v>142.35</v>
      </c>
      <c r="L1794" s="357">
        <v>12.664849145765176</v>
      </c>
      <c r="M1794" s="357">
        <v>13.05</v>
      </c>
      <c r="N1794" s="357" t="s">
        <v>135</v>
      </c>
      <c r="O1794" s="357">
        <v>12.145904436860068</v>
      </c>
      <c r="P1794" s="325"/>
      <c r="Q1794" s="325"/>
      <c r="R1794" s="325">
        <v>34</v>
      </c>
    </row>
    <row r="1795" spans="1:18" ht="24">
      <c r="A1795" s="321">
        <v>64.233999999999995</v>
      </c>
      <c r="B1795" s="314" t="s">
        <v>3170</v>
      </c>
      <c r="C1795" s="322" t="s">
        <v>3171</v>
      </c>
      <c r="D1795" s="323">
        <v>0.51</v>
      </c>
      <c r="E1795" s="323">
        <v>0.51</v>
      </c>
      <c r="F1795" s="323"/>
      <c r="G1795" s="323"/>
      <c r="H1795" s="324">
        <v>6.59</v>
      </c>
      <c r="I1795" s="324">
        <v>6.59</v>
      </c>
      <c r="J1795" s="324"/>
      <c r="K1795" s="324"/>
      <c r="L1795" s="357">
        <v>12.921568627450981</v>
      </c>
      <c r="M1795" s="357">
        <v>13.05</v>
      </c>
      <c r="N1795" s="357" t="s">
        <v>135</v>
      </c>
      <c r="O1795" s="357" t="s">
        <v>135</v>
      </c>
      <c r="P1795" s="325"/>
      <c r="Q1795" s="325"/>
      <c r="R1795" s="325">
        <v>34</v>
      </c>
    </row>
    <row r="1796" spans="1:18" ht="24">
      <c r="A1796" s="321">
        <v>64.234999999999999</v>
      </c>
      <c r="B1796" s="314" t="s">
        <v>3172</v>
      </c>
      <c r="C1796" s="322" t="s">
        <v>3173</v>
      </c>
      <c r="D1796" s="323">
        <v>2.5299999999999998</v>
      </c>
      <c r="E1796" s="323">
        <v>2.5299999999999998</v>
      </c>
      <c r="F1796" s="323"/>
      <c r="G1796" s="323"/>
      <c r="H1796" s="324">
        <v>32.950000000000003</v>
      </c>
      <c r="I1796" s="324">
        <v>32.950000000000003</v>
      </c>
      <c r="J1796" s="324"/>
      <c r="K1796" s="324"/>
      <c r="L1796" s="357">
        <v>13.023715415019765</v>
      </c>
      <c r="M1796" s="357">
        <v>13.05</v>
      </c>
      <c r="N1796" s="357" t="s">
        <v>135</v>
      </c>
      <c r="O1796" s="357" t="s">
        <v>135</v>
      </c>
      <c r="P1796" s="325"/>
      <c r="Q1796" s="325"/>
      <c r="R1796" s="325">
        <v>34</v>
      </c>
    </row>
    <row r="1797" spans="1:18" ht="36">
      <c r="A1797" s="321">
        <v>64.236000000000004</v>
      </c>
      <c r="B1797" s="314" t="s">
        <v>3174</v>
      </c>
      <c r="C1797" s="322" t="s">
        <v>3175</v>
      </c>
      <c r="D1797" s="323">
        <v>7.58</v>
      </c>
      <c r="E1797" s="323">
        <v>7.58</v>
      </c>
      <c r="F1797" s="323"/>
      <c r="G1797" s="323"/>
      <c r="H1797" s="324">
        <v>98.86</v>
      </c>
      <c r="I1797" s="324">
        <v>98.86</v>
      </c>
      <c r="J1797" s="324"/>
      <c r="K1797" s="324"/>
      <c r="L1797" s="357">
        <v>13.042216358839051</v>
      </c>
      <c r="M1797" s="357">
        <v>13.05</v>
      </c>
      <c r="N1797" s="357" t="s">
        <v>135</v>
      </c>
      <c r="O1797" s="357" t="s">
        <v>135</v>
      </c>
      <c r="P1797" s="325"/>
      <c r="Q1797" s="325"/>
      <c r="R1797" s="325">
        <v>34</v>
      </c>
    </row>
    <row r="1798" spans="1:18" ht="36">
      <c r="A1798" s="321">
        <v>64.236999999999995</v>
      </c>
      <c r="B1798" s="314" t="s">
        <v>3176</v>
      </c>
      <c r="C1798" s="322" t="s">
        <v>3177</v>
      </c>
      <c r="D1798" s="323">
        <v>9.6</v>
      </c>
      <c r="E1798" s="323">
        <v>9.6</v>
      </c>
      <c r="F1798" s="323"/>
      <c r="G1798" s="323"/>
      <c r="H1798" s="324">
        <v>125.22</v>
      </c>
      <c r="I1798" s="324">
        <v>125.22</v>
      </c>
      <c r="J1798" s="324"/>
      <c r="K1798" s="324"/>
      <c r="L1798" s="357">
        <v>13.043750000000001</v>
      </c>
      <c r="M1798" s="357">
        <v>13.05</v>
      </c>
      <c r="N1798" s="357" t="s">
        <v>135</v>
      </c>
      <c r="O1798" s="357" t="s">
        <v>135</v>
      </c>
      <c r="P1798" s="325"/>
      <c r="Q1798" s="325"/>
      <c r="R1798" s="325">
        <v>34</v>
      </c>
    </row>
    <row r="1799" spans="1:18" ht="24">
      <c r="A1799" s="326">
        <v>64.238</v>
      </c>
      <c r="B1799" s="327" t="s">
        <v>3178</v>
      </c>
      <c r="C1799" s="328" t="s">
        <v>3179</v>
      </c>
      <c r="D1799" s="329">
        <v>11.01</v>
      </c>
      <c r="E1799" s="329">
        <v>11.01</v>
      </c>
      <c r="F1799" s="329"/>
      <c r="G1799" s="329"/>
      <c r="H1799" s="330">
        <v>143.66999999999999</v>
      </c>
      <c r="I1799" s="330">
        <v>143.66999999999999</v>
      </c>
      <c r="J1799" s="330"/>
      <c r="K1799" s="330"/>
      <c r="L1799" s="356">
        <v>13.049046321525884</v>
      </c>
      <c r="M1799" s="356">
        <v>13.05</v>
      </c>
      <c r="N1799" s="356" t="s">
        <v>135</v>
      </c>
      <c r="O1799" s="356" t="s">
        <v>135</v>
      </c>
      <c r="P1799" s="331"/>
      <c r="Q1799" s="331"/>
      <c r="R1799" s="331">
        <v>34</v>
      </c>
    </row>
    <row r="1800" spans="1:18" ht="12.75">
      <c r="A1800" s="428" t="s">
        <v>3180</v>
      </c>
      <c r="B1800" s="429"/>
      <c r="C1800" s="429"/>
      <c r="D1800" s="429"/>
      <c r="E1800" s="429"/>
      <c r="F1800" s="429"/>
      <c r="G1800" s="429"/>
      <c r="H1800" s="429"/>
      <c r="I1800" s="429"/>
      <c r="J1800" s="429"/>
      <c r="K1800" s="429"/>
      <c r="L1800" s="429"/>
      <c r="M1800" s="429"/>
      <c r="N1800" s="429"/>
      <c r="O1800" s="429"/>
      <c r="P1800" s="429"/>
      <c r="Q1800" s="429"/>
      <c r="R1800" s="429"/>
    </row>
    <row r="1801" spans="1:18" ht="24">
      <c r="A1801" s="321">
        <v>64.239000000000004</v>
      </c>
      <c r="B1801" s="314" t="s">
        <v>3181</v>
      </c>
      <c r="C1801" s="322" t="s">
        <v>3182</v>
      </c>
      <c r="D1801" s="323">
        <v>55.5</v>
      </c>
      <c r="E1801" s="323">
        <v>26.21</v>
      </c>
      <c r="F1801" s="323"/>
      <c r="G1801" s="323">
        <v>29.29</v>
      </c>
      <c r="H1801" s="324">
        <v>585.96</v>
      </c>
      <c r="I1801" s="324">
        <v>342.09</v>
      </c>
      <c r="J1801" s="324"/>
      <c r="K1801" s="324">
        <v>243.87</v>
      </c>
      <c r="L1801" s="357">
        <v>10.557837837837839</v>
      </c>
      <c r="M1801" s="357">
        <v>13.05</v>
      </c>
      <c r="N1801" s="357" t="s">
        <v>135</v>
      </c>
      <c r="O1801" s="357">
        <v>8.3260498463639472</v>
      </c>
      <c r="P1801" s="325"/>
      <c r="Q1801" s="325"/>
      <c r="R1801" s="325">
        <v>35</v>
      </c>
    </row>
    <row r="1802" spans="1:18" ht="24">
      <c r="A1802" s="321">
        <v>64.239999999999995</v>
      </c>
      <c r="B1802" s="314" t="s">
        <v>3183</v>
      </c>
      <c r="C1802" s="322" t="s">
        <v>3184</v>
      </c>
      <c r="D1802" s="323">
        <v>34.29</v>
      </c>
      <c r="E1802" s="323">
        <v>18.68</v>
      </c>
      <c r="F1802" s="323"/>
      <c r="G1802" s="323">
        <v>15.61</v>
      </c>
      <c r="H1802" s="324">
        <v>435.44</v>
      </c>
      <c r="I1802" s="324">
        <v>243.77</v>
      </c>
      <c r="J1802" s="324"/>
      <c r="K1802" s="324">
        <v>191.67</v>
      </c>
      <c r="L1802" s="357">
        <v>12.698745990084573</v>
      </c>
      <c r="M1802" s="357">
        <v>13.05</v>
      </c>
      <c r="N1802" s="357" t="s">
        <v>135</v>
      </c>
      <c r="O1802" s="357">
        <v>12.278667520819987</v>
      </c>
      <c r="P1802" s="325"/>
      <c r="Q1802" s="325"/>
      <c r="R1802" s="325">
        <v>35</v>
      </c>
    </row>
    <row r="1803" spans="1:18" ht="24">
      <c r="A1803" s="321">
        <v>64.241</v>
      </c>
      <c r="B1803" s="314" t="s">
        <v>3185</v>
      </c>
      <c r="C1803" s="322" t="s">
        <v>3186</v>
      </c>
      <c r="D1803" s="323">
        <v>1.1100000000000001</v>
      </c>
      <c r="E1803" s="323">
        <v>1.1100000000000001</v>
      </c>
      <c r="F1803" s="323"/>
      <c r="G1803" s="323"/>
      <c r="H1803" s="324">
        <v>14.5</v>
      </c>
      <c r="I1803" s="324">
        <v>14.5</v>
      </c>
      <c r="J1803" s="324"/>
      <c r="K1803" s="324"/>
      <c r="L1803" s="357">
        <v>13.063063063063062</v>
      </c>
      <c r="M1803" s="357">
        <v>13.05</v>
      </c>
      <c r="N1803" s="357" t="s">
        <v>135</v>
      </c>
      <c r="O1803" s="357" t="s">
        <v>135</v>
      </c>
      <c r="P1803" s="325"/>
      <c r="Q1803" s="325"/>
      <c r="R1803" s="325">
        <v>35</v>
      </c>
    </row>
    <row r="1804" spans="1:18" ht="24">
      <c r="A1804" s="321">
        <v>64.242000000000004</v>
      </c>
      <c r="B1804" s="314" t="s">
        <v>3187</v>
      </c>
      <c r="C1804" s="322" t="s">
        <v>3188</v>
      </c>
      <c r="D1804" s="323">
        <v>5.35</v>
      </c>
      <c r="E1804" s="323">
        <v>5.35</v>
      </c>
      <c r="F1804" s="323"/>
      <c r="G1804" s="323"/>
      <c r="H1804" s="324">
        <v>69.86</v>
      </c>
      <c r="I1804" s="324">
        <v>69.86</v>
      </c>
      <c r="J1804" s="324"/>
      <c r="K1804" s="324"/>
      <c r="L1804" s="357">
        <v>13.057943925233646</v>
      </c>
      <c r="M1804" s="357">
        <v>13.05</v>
      </c>
      <c r="N1804" s="357" t="s">
        <v>135</v>
      </c>
      <c r="O1804" s="357" t="s">
        <v>135</v>
      </c>
      <c r="P1804" s="325"/>
      <c r="Q1804" s="325"/>
      <c r="R1804" s="325">
        <v>35</v>
      </c>
    </row>
    <row r="1805" spans="1:18" ht="36">
      <c r="A1805" s="321">
        <v>64.242999999999995</v>
      </c>
      <c r="B1805" s="314" t="s">
        <v>3189</v>
      </c>
      <c r="C1805" s="322" t="s">
        <v>3190</v>
      </c>
      <c r="D1805" s="323">
        <v>11.72</v>
      </c>
      <c r="E1805" s="323">
        <v>11.72</v>
      </c>
      <c r="F1805" s="323"/>
      <c r="G1805" s="323"/>
      <c r="H1805" s="324">
        <v>152.9</v>
      </c>
      <c r="I1805" s="324">
        <v>152.9</v>
      </c>
      <c r="J1805" s="324"/>
      <c r="K1805" s="324"/>
      <c r="L1805" s="357">
        <v>13.046075085324231</v>
      </c>
      <c r="M1805" s="357">
        <v>13.05</v>
      </c>
      <c r="N1805" s="357" t="s">
        <v>135</v>
      </c>
      <c r="O1805" s="357" t="s">
        <v>135</v>
      </c>
      <c r="P1805" s="325"/>
      <c r="Q1805" s="325"/>
      <c r="R1805" s="325">
        <v>35</v>
      </c>
    </row>
    <row r="1806" spans="1:18" ht="36">
      <c r="A1806" s="321">
        <v>64.244</v>
      </c>
      <c r="B1806" s="314" t="s">
        <v>3191</v>
      </c>
      <c r="C1806" s="322" t="s">
        <v>3192</v>
      </c>
      <c r="D1806" s="323">
        <v>15.86</v>
      </c>
      <c r="E1806" s="323">
        <v>15.86</v>
      </c>
      <c r="F1806" s="323"/>
      <c r="G1806" s="323"/>
      <c r="H1806" s="324">
        <v>206.94</v>
      </c>
      <c r="I1806" s="324">
        <v>206.94</v>
      </c>
      <c r="J1806" s="324"/>
      <c r="K1806" s="324"/>
      <c r="L1806" s="357">
        <v>13.047919293820934</v>
      </c>
      <c r="M1806" s="357">
        <v>13.05</v>
      </c>
      <c r="N1806" s="357" t="s">
        <v>135</v>
      </c>
      <c r="O1806" s="357" t="s">
        <v>135</v>
      </c>
      <c r="P1806" s="325"/>
      <c r="Q1806" s="325"/>
      <c r="R1806" s="325">
        <v>35</v>
      </c>
    </row>
    <row r="1807" spans="1:18" ht="24">
      <c r="A1807" s="326">
        <v>64.245000000000005</v>
      </c>
      <c r="B1807" s="327" t="s">
        <v>3193</v>
      </c>
      <c r="C1807" s="328" t="s">
        <v>3194</v>
      </c>
      <c r="D1807" s="329">
        <v>16.670000000000002</v>
      </c>
      <c r="E1807" s="329">
        <v>16.670000000000002</v>
      </c>
      <c r="F1807" s="329"/>
      <c r="G1807" s="329"/>
      <c r="H1807" s="330">
        <v>217.49</v>
      </c>
      <c r="I1807" s="330">
        <v>217.49</v>
      </c>
      <c r="J1807" s="330"/>
      <c r="K1807" s="330"/>
      <c r="L1807" s="356">
        <v>13.046790641871626</v>
      </c>
      <c r="M1807" s="356">
        <v>13.05</v>
      </c>
      <c r="N1807" s="356" t="s">
        <v>135</v>
      </c>
      <c r="O1807" s="356" t="s">
        <v>135</v>
      </c>
      <c r="P1807" s="331"/>
      <c r="Q1807" s="331"/>
      <c r="R1807" s="331">
        <v>35</v>
      </c>
    </row>
    <row r="1808" spans="1:18" ht="12.75">
      <c r="A1808" s="428" t="s">
        <v>3195</v>
      </c>
      <c r="B1808" s="429"/>
      <c r="C1808" s="429"/>
      <c r="D1808" s="429"/>
      <c r="E1808" s="429"/>
      <c r="F1808" s="429"/>
      <c r="G1808" s="429"/>
      <c r="H1808" s="429"/>
      <c r="I1808" s="429"/>
      <c r="J1808" s="429"/>
      <c r="K1808" s="429"/>
      <c r="L1808" s="429"/>
      <c r="M1808" s="429"/>
      <c r="N1808" s="429"/>
      <c r="O1808" s="429"/>
      <c r="P1808" s="429"/>
      <c r="Q1808" s="429"/>
      <c r="R1808" s="429"/>
    </row>
    <row r="1809" spans="1:18" ht="24">
      <c r="A1809" s="321">
        <v>64.245999999999995</v>
      </c>
      <c r="B1809" s="314" t="s">
        <v>3196</v>
      </c>
      <c r="C1809" s="322" t="s">
        <v>3197</v>
      </c>
      <c r="D1809" s="323">
        <v>88.77</v>
      </c>
      <c r="E1809" s="323">
        <v>37.26</v>
      </c>
      <c r="F1809" s="323">
        <v>0.73</v>
      </c>
      <c r="G1809" s="323">
        <v>50.78</v>
      </c>
      <c r="H1809" s="324">
        <v>915.99</v>
      </c>
      <c r="I1809" s="324">
        <v>486.19</v>
      </c>
      <c r="J1809" s="324">
        <v>5.56</v>
      </c>
      <c r="K1809" s="324">
        <v>424.24</v>
      </c>
      <c r="L1809" s="357">
        <v>10.31868874619804</v>
      </c>
      <c r="M1809" s="357">
        <v>13.05</v>
      </c>
      <c r="N1809" s="357">
        <v>7.6164383561643829</v>
      </c>
      <c r="O1809" s="357">
        <v>8.3544702638834192</v>
      </c>
      <c r="P1809" s="325"/>
      <c r="Q1809" s="325"/>
      <c r="R1809" s="325">
        <v>36</v>
      </c>
    </row>
    <row r="1810" spans="1:18" ht="24">
      <c r="A1810" s="321">
        <v>64.247</v>
      </c>
      <c r="B1810" s="314" t="s">
        <v>3198</v>
      </c>
      <c r="C1810" s="322" t="s">
        <v>3199</v>
      </c>
      <c r="D1810" s="323">
        <v>57.42</v>
      </c>
      <c r="E1810" s="323">
        <v>27.76</v>
      </c>
      <c r="F1810" s="323">
        <v>0.37</v>
      </c>
      <c r="G1810" s="323">
        <v>29.29</v>
      </c>
      <c r="H1810" s="324">
        <v>723.08</v>
      </c>
      <c r="I1810" s="324">
        <v>362.29</v>
      </c>
      <c r="J1810" s="324">
        <v>2.78</v>
      </c>
      <c r="K1810" s="324">
        <v>358.01</v>
      </c>
      <c r="L1810" s="357">
        <v>12.592824799721352</v>
      </c>
      <c r="M1810" s="357">
        <v>13.05</v>
      </c>
      <c r="N1810" s="357">
        <v>7.5135135135135132</v>
      </c>
      <c r="O1810" s="357">
        <v>12.222942983953567</v>
      </c>
      <c r="P1810" s="325"/>
      <c r="Q1810" s="325"/>
      <c r="R1810" s="325">
        <v>36</v>
      </c>
    </row>
    <row r="1811" spans="1:18" ht="24">
      <c r="A1811" s="321">
        <v>64.248000000000005</v>
      </c>
      <c r="B1811" s="314" t="s">
        <v>3200</v>
      </c>
      <c r="C1811" s="322" t="s">
        <v>3201</v>
      </c>
      <c r="D1811" s="323">
        <v>2.12</v>
      </c>
      <c r="E1811" s="323">
        <v>2.12</v>
      </c>
      <c r="F1811" s="323"/>
      <c r="G1811" s="323"/>
      <c r="H1811" s="324">
        <v>27.68</v>
      </c>
      <c r="I1811" s="324">
        <v>27.68</v>
      </c>
      <c r="J1811" s="324"/>
      <c r="K1811" s="324"/>
      <c r="L1811" s="357">
        <v>13.056603773584905</v>
      </c>
      <c r="M1811" s="357">
        <v>13.05</v>
      </c>
      <c r="N1811" s="357" t="s">
        <v>135</v>
      </c>
      <c r="O1811" s="357" t="s">
        <v>135</v>
      </c>
      <c r="P1811" s="325"/>
      <c r="Q1811" s="325"/>
      <c r="R1811" s="325">
        <v>36</v>
      </c>
    </row>
    <row r="1812" spans="1:18" ht="24">
      <c r="A1812" s="321">
        <v>64.248999999999995</v>
      </c>
      <c r="B1812" s="314" t="s">
        <v>3202</v>
      </c>
      <c r="C1812" s="322" t="s">
        <v>3203</v>
      </c>
      <c r="D1812" s="323">
        <v>10.5</v>
      </c>
      <c r="E1812" s="323">
        <v>10.5</v>
      </c>
      <c r="F1812" s="323"/>
      <c r="G1812" s="323"/>
      <c r="H1812" s="324">
        <v>137.08000000000001</v>
      </c>
      <c r="I1812" s="324">
        <v>137.08000000000001</v>
      </c>
      <c r="J1812" s="324"/>
      <c r="K1812" s="324"/>
      <c r="L1812" s="357">
        <v>13.055238095238096</v>
      </c>
      <c r="M1812" s="357">
        <v>13.05</v>
      </c>
      <c r="N1812" s="357" t="s">
        <v>135</v>
      </c>
      <c r="O1812" s="357" t="s">
        <v>135</v>
      </c>
      <c r="P1812" s="325"/>
      <c r="Q1812" s="325"/>
      <c r="R1812" s="325">
        <v>36</v>
      </c>
    </row>
    <row r="1813" spans="1:18" ht="36">
      <c r="A1813" s="321">
        <v>64.25</v>
      </c>
      <c r="B1813" s="314" t="s">
        <v>3204</v>
      </c>
      <c r="C1813" s="322" t="s">
        <v>3205</v>
      </c>
      <c r="D1813" s="323">
        <v>21.72</v>
      </c>
      <c r="E1813" s="323">
        <v>21.72</v>
      </c>
      <c r="F1813" s="323"/>
      <c r="G1813" s="323"/>
      <c r="H1813" s="324">
        <v>283.39</v>
      </c>
      <c r="I1813" s="324">
        <v>283.39</v>
      </c>
      <c r="J1813" s="324"/>
      <c r="K1813" s="324"/>
      <c r="L1813" s="357">
        <v>13.047421731123389</v>
      </c>
      <c r="M1813" s="357">
        <v>13.05</v>
      </c>
      <c r="N1813" s="357" t="s">
        <v>135</v>
      </c>
      <c r="O1813" s="357" t="s">
        <v>135</v>
      </c>
      <c r="P1813" s="325"/>
      <c r="Q1813" s="325"/>
      <c r="R1813" s="325">
        <v>36</v>
      </c>
    </row>
    <row r="1814" spans="1:18" ht="36">
      <c r="A1814" s="321">
        <v>64.251000000000005</v>
      </c>
      <c r="B1814" s="314" t="s">
        <v>3206</v>
      </c>
      <c r="C1814" s="322" t="s">
        <v>3207</v>
      </c>
      <c r="D1814" s="323">
        <v>30.1</v>
      </c>
      <c r="E1814" s="323">
        <v>30.1</v>
      </c>
      <c r="F1814" s="323"/>
      <c r="G1814" s="323"/>
      <c r="H1814" s="324">
        <v>392.79</v>
      </c>
      <c r="I1814" s="324">
        <v>392.79</v>
      </c>
      <c r="J1814" s="324"/>
      <c r="K1814" s="324"/>
      <c r="L1814" s="357">
        <v>13.049501661129568</v>
      </c>
      <c r="M1814" s="357">
        <v>13.05</v>
      </c>
      <c r="N1814" s="357" t="s">
        <v>135</v>
      </c>
      <c r="O1814" s="357" t="s">
        <v>135</v>
      </c>
      <c r="P1814" s="325"/>
      <c r="Q1814" s="325"/>
      <c r="R1814" s="325">
        <v>36</v>
      </c>
    </row>
    <row r="1815" spans="1:18" ht="24">
      <c r="A1815" s="326">
        <v>64.251999999999995</v>
      </c>
      <c r="B1815" s="327" t="s">
        <v>3208</v>
      </c>
      <c r="C1815" s="328" t="s">
        <v>3209</v>
      </c>
      <c r="D1815" s="329">
        <v>28.89</v>
      </c>
      <c r="E1815" s="329">
        <v>28.89</v>
      </c>
      <c r="F1815" s="329"/>
      <c r="G1815" s="329"/>
      <c r="H1815" s="330">
        <v>376.98</v>
      </c>
      <c r="I1815" s="330">
        <v>376.98</v>
      </c>
      <c r="J1815" s="330"/>
      <c r="K1815" s="330"/>
      <c r="L1815" s="356">
        <v>13.048805815160955</v>
      </c>
      <c r="M1815" s="356">
        <v>13.05</v>
      </c>
      <c r="N1815" s="356" t="s">
        <v>135</v>
      </c>
      <c r="O1815" s="356" t="s">
        <v>135</v>
      </c>
      <c r="P1815" s="331"/>
      <c r="Q1815" s="331"/>
      <c r="R1815" s="331">
        <v>36</v>
      </c>
    </row>
    <row r="1816" spans="1:18" ht="12.75">
      <c r="A1816" s="428" t="s">
        <v>3210</v>
      </c>
      <c r="B1816" s="429"/>
      <c r="C1816" s="429"/>
      <c r="D1816" s="429"/>
      <c r="E1816" s="429"/>
      <c r="F1816" s="429"/>
      <c r="G1816" s="429"/>
      <c r="H1816" s="429"/>
      <c r="I1816" s="429"/>
      <c r="J1816" s="429"/>
      <c r="K1816" s="429"/>
      <c r="L1816" s="429"/>
      <c r="M1816" s="429"/>
      <c r="N1816" s="429"/>
      <c r="O1816" s="429"/>
      <c r="P1816" s="429"/>
      <c r="Q1816" s="429"/>
      <c r="R1816" s="429"/>
    </row>
    <row r="1817" spans="1:18" ht="24">
      <c r="A1817" s="321">
        <v>64.253</v>
      </c>
      <c r="B1817" s="314" t="s">
        <v>3211</v>
      </c>
      <c r="C1817" s="322" t="s">
        <v>3212</v>
      </c>
      <c r="D1817" s="323">
        <v>160.57</v>
      </c>
      <c r="E1817" s="323">
        <v>38.869999999999997</v>
      </c>
      <c r="F1817" s="323">
        <v>0.73</v>
      </c>
      <c r="G1817" s="323">
        <v>120.97</v>
      </c>
      <c r="H1817" s="324">
        <v>1464.35</v>
      </c>
      <c r="I1817" s="324">
        <v>507.3</v>
      </c>
      <c r="J1817" s="324">
        <v>5.56</v>
      </c>
      <c r="K1817" s="324">
        <v>951.49</v>
      </c>
      <c r="L1817" s="357">
        <v>9.1196985738307283</v>
      </c>
      <c r="M1817" s="357">
        <v>13.05</v>
      </c>
      <c r="N1817" s="357">
        <v>7.6164383561643829</v>
      </c>
      <c r="O1817" s="357">
        <v>7.8655038439282468</v>
      </c>
      <c r="P1817" s="325"/>
      <c r="Q1817" s="325"/>
      <c r="R1817" s="325">
        <v>37</v>
      </c>
    </row>
    <row r="1818" spans="1:18" ht="24">
      <c r="A1818" s="321">
        <v>64.254000000000005</v>
      </c>
      <c r="B1818" s="314" t="s">
        <v>3213</v>
      </c>
      <c r="C1818" s="322" t="s">
        <v>3214</v>
      </c>
      <c r="D1818" s="323">
        <v>104.67</v>
      </c>
      <c r="E1818" s="323">
        <v>29.78</v>
      </c>
      <c r="F1818" s="323">
        <v>0.73</v>
      </c>
      <c r="G1818" s="323">
        <v>74.16</v>
      </c>
      <c r="H1818" s="324">
        <v>1024.1099999999999</v>
      </c>
      <c r="I1818" s="324">
        <v>388.65</v>
      </c>
      <c r="J1818" s="324">
        <v>5.56</v>
      </c>
      <c r="K1818" s="324">
        <v>629.9</v>
      </c>
      <c r="L1818" s="357">
        <v>9.784178847807393</v>
      </c>
      <c r="M1818" s="357">
        <v>13.05</v>
      </c>
      <c r="N1818" s="357">
        <v>7.6164383561643829</v>
      </c>
      <c r="O1818" s="357">
        <v>8.4937971952535065</v>
      </c>
      <c r="P1818" s="325"/>
      <c r="Q1818" s="325"/>
      <c r="R1818" s="325">
        <v>37</v>
      </c>
    </row>
    <row r="1819" spans="1:18" ht="24">
      <c r="A1819" s="321">
        <v>64.254999999999995</v>
      </c>
      <c r="B1819" s="314" t="s">
        <v>3215</v>
      </c>
      <c r="C1819" s="322" t="s">
        <v>3216</v>
      </c>
      <c r="D1819" s="323">
        <v>1.63</v>
      </c>
      <c r="E1819" s="323">
        <v>1.63</v>
      </c>
      <c r="F1819" s="323"/>
      <c r="G1819" s="323"/>
      <c r="H1819" s="324">
        <v>21.28</v>
      </c>
      <c r="I1819" s="324">
        <v>21.28</v>
      </c>
      <c r="J1819" s="324"/>
      <c r="K1819" s="324"/>
      <c r="L1819" s="357">
        <v>13.055214723926381</v>
      </c>
      <c r="M1819" s="357">
        <v>13.05</v>
      </c>
      <c r="N1819" s="357" t="s">
        <v>135</v>
      </c>
      <c r="O1819" s="357" t="s">
        <v>135</v>
      </c>
      <c r="P1819" s="325"/>
      <c r="Q1819" s="325"/>
      <c r="R1819" s="325">
        <v>37</v>
      </c>
    </row>
    <row r="1820" spans="1:18" ht="24">
      <c r="A1820" s="321">
        <v>64.256</v>
      </c>
      <c r="B1820" s="314" t="s">
        <v>3217</v>
      </c>
      <c r="C1820" s="322" t="s">
        <v>3218</v>
      </c>
      <c r="D1820" s="323">
        <v>6.22</v>
      </c>
      <c r="E1820" s="323">
        <v>6.22</v>
      </c>
      <c r="F1820" s="323"/>
      <c r="G1820" s="323"/>
      <c r="H1820" s="324">
        <v>81.12</v>
      </c>
      <c r="I1820" s="324">
        <v>81.12</v>
      </c>
      <c r="J1820" s="324"/>
      <c r="K1820" s="324"/>
      <c r="L1820" s="357">
        <v>13.041800643086818</v>
      </c>
      <c r="M1820" s="357">
        <v>13.05</v>
      </c>
      <c r="N1820" s="357" t="s">
        <v>135</v>
      </c>
      <c r="O1820" s="357" t="s">
        <v>135</v>
      </c>
      <c r="P1820" s="325"/>
      <c r="Q1820" s="325"/>
      <c r="R1820" s="325">
        <v>37</v>
      </c>
    </row>
    <row r="1821" spans="1:18" ht="36">
      <c r="A1821" s="321">
        <v>64.257000000000005</v>
      </c>
      <c r="B1821" s="314" t="s">
        <v>3219</v>
      </c>
      <c r="C1821" s="322" t="s">
        <v>3220</v>
      </c>
      <c r="D1821" s="323">
        <v>14.67</v>
      </c>
      <c r="E1821" s="323">
        <v>14.67</v>
      </c>
      <c r="F1821" s="323"/>
      <c r="G1821" s="323"/>
      <c r="H1821" s="324">
        <v>191.49</v>
      </c>
      <c r="I1821" s="324">
        <v>191.49</v>
      </c>
      <c r="J1821" s="324"/>
      <c r="K1821" s="324"/>
      <c r="L1821" s="357">
        <v>13.05316973415133</v>
      </c>
      <c r="M1821" s="357">
        <v>13.05</v>
      </c>
      <c r="N1821" s="357" t="s">
        <v>135</v>
      </c>
      <c r="O1821" s="357" t="s">
        <v>135</v>
      </c>
      <c r="P1821" s="325"/>
      <c r="Q1821" s="325"/>
      <c r="R1821" s="325">
        <v>37</v>
      </c>
    </row>
    <row r="1822" spans="1:18" ht="36">
      <c r="A1822" s="321">
        <v>64.257999999999996</v>
      </c>
      <c r="B1822" s="314" t="s">
        <v>3221</v>
      </c>
      <c r="C1822" s="322" t="s">
        <v>3222</v>
      </c>
      <c r="D1822" s="323">
        <v>19.260000000000002</v>
      </c>
      <c r="E1822" s="323">
        <v>19.260000000000002</v>
      </c>
      <c r="F1822" s="323"/>
      <c r="G1822" s="323"/>
      <c r="H1822" s="324">
        <v>251.33</v>
      </c>
      <c r="I1822" s="324">
        <v>251.33</v>
      </c>
      <c r="J1822" s="324"/>
      <c r="K1822" s="324"/>
      <c r="L1822" s="357">
        <v>13.04932502596054</v>
      </c>
      <c r="M1822" s="357">
        <v>13.05</v>
      </c>
      <c r="N1822" s="357" t="s">
        <v>135</v>
      </c>
      <c r="O1822" s="357" t="s">
        <v>135</v>
      </c>
      <c r="P1822" s="325"/>
      <c r="Q1822" s="325"/>
      <c r="R1822" s="325">
        <v>37</v>
      </c>
    </row>
    <row r="1823" spans="1:18" ht="24">
      <c r="A1823" s="326">
        <v>64.259</v>
      </c>
      <c r="B1823" s="327" t="s">
        <v>3223</v>
      </c>
      <c r="C1823" s="328" t="s">
        <v>3224</v>
      </c>
      <c r="D1823" s="329">
        <v>19.43</v>
      </c>
      <c r="E1823" s="329">
        <v>19.059999999999999</v>
      </c>
      <c r="F1823" s="329">
        <v>0.37</v>
      </c>
      <c r="G1823" s="329"/>
      <c r="H1823" s="330">
        <v>251.45</v>
      </c>
      <c r="I1823" s="330">
        <v>248.67</v>
      </c>
      <c r="J1823" s="330">
        <v>2.78</v>
      </c>
      <c r="K1823" s="330"/>
      <c r="L1823" s="356">
        <v>12.941327843540916</v>
      </c>
      <c r="M1823" s="356">
        <v>13.05</v>
      </c>
      <c r="N1823" s="356">
        <v>7.5135135135135132</v>
      </c>
      <c r="O1823" s="356" t="s">
        <v>135</v>
      </c>
      <c r="P1823" s="331"/>
      <c r="Q1823" s="331"/>
      <c r="R1823" s="331">
        <v>37</v>
      </c>
    </row>
    <row r="1824" spans="1:18" ht="12.75">
      <c r="A1824" s="428" t="s">
        <v>3225</v>
      </c>
      <c r="B1824" s="429"/>
      <c r="C1824" s="429"/>
      <c r="D1824" s="429"/>
      <c r="E1824" s="429"/>
      <c r="F1824" s="429"/>
      <c r="G1824" s="429"/>
      <c r="H1824" s="429"/>
      <c r="I1824" s="429"/>
      <c r="J1824" s="429"/>
      <c r="K1824" s="429"/>
      <c r="L1824" s="429"/>
      <c r="M1824" s="429"/>
      <c r="N1824" s="429"/>
      <c r="O1824" s="429"/>
      <c r="P1824" s="429"/>
      <c r="Q1824" s="429"/>
      <c r="R1824" s="429"/>
    </row>
    <row r="1825" spans="1:18" ht="24">
      <c r="A1825" s="321">
        <v>64.260000000000005</v>
      </c>
      <c r="B1825" s="314" t="s">
        <v>3226</v>
      </c>
      <c r="C1825" s="322" t="s">
        <v>3227</v>
      </c>
      <c r="D1825" s="323">
        <v>169.52</v>
      </c>
      <c r="E1825" s="323">
        <v>47.44</v>
      </c>
      <c r="F1825" s="323">
        <v>1.1000000000000001</v>
      </c>
      <c r="G1825" s="323">
        <v>120.98</v>
      </c>
      <c r="H1825" s="324">
        <v>1582.59</v>
      </c>
      <c r="I1825" s="324">
        <v>619.12</v>
      </c>
      <c r="J1825" s="324">
        <v>8.34</v>
      </c>
      <c r="K1825" s="324">
        <v>955.13</v>
      </c>
      <c r="L1825" s="357">
        <v>9.3357126002831521</v>
      </c>
      <c r="M1825" s="357">
        <v>13.05</v>
      </c>
      <c r="N1825" s="357">
        <v>7.5818181818181811</v>
      </c>
      <c r="O1825" s="357">
        <v>7.8949413126136552</v>
      </c>
      <c r="P1825" s="325"/>
      <c r="Q1825" s="325"/>
      <c r="R1825" s="325">
        <v>38</v>
      </c>
    </row>
    <row r="1826" spans="1:18" ht="24">
      <c r="A1826" s="321">
        <v>64.260999999999996</v>
      </c>
      <c r="B1826" s="314" t="s">
        <v>3228</v>
      </c>
      <c r="C1826" s="322" t="s">
        <v>3229</v>
      </c>
      <c r="D1826" s="323">
        <v>110.32</v>
      </c>
      <c r="E1826" s="323">
        <v>35.43</v>
      </c>
      <c r="F1826" s="323">
        <v>0.73</v>
      </c>
      <c r="G1826" s="323">
        <v>74.16</v>
      </c>
      <c r="H1826" s="324">
        <v>1098.0999999999999</v>
      </c>
      <c r="I1826" s="324">
        <v>462.29</v>
      </c>
      <c r="J1826" s="324">
        <v>5.56</v>
      </c>
      <c r="K1826" s="324">
        <v>630.25</v>
      </c>
      <c r="L1826" s="357">
        <v>9.9537708484408984</v>
      </c>
      <c r="M1826" s="357">
        <v>13.05</v>
      </c>
      <c r="N1826" s="357">
        <v>7.6164383561643829</v>
      </c>
      <c r="O1826" s="357">
        <v>8.4985167206040995</v>
      </c>
      <c r="P1826" s="325"/>
      <c r="Q1826" s="325"/>
      <c r="R1826" s="325">
        <v>38</v>
      </c>
    </row>
    <row r="1827" spans="1:18" ht="24">
      <c r="A1827" s="321">
        <v>64.262</v>
      </c>
      <c r="B1827" s="314" t="s">
        <v>3230</v>
      </c>
      <c r="C1827" s="322" t="s">
        <v>3231</v>
      </c>
      <c r="D1827" s="323">
        <v>2.75</v>
      </c>
      <c r="E1827" s="323">
        <v>2.75</v>
      </c>
      <c r="F1827" s="323"/>
      <c r="G1827" s="323"/>
      <c r="H1827" s="324">
        <v>35.9</v>
      </c>
      <c r="I1827" s="324">
        <v>35.9</v>
      </c>
      <c r="J1827" s="324"/>
      <c r="K1827" s="324"/>
      <c r="L1827" s="357">
        <v>13.054545454545455</v>
      </c>
      <c r="M1827" s="357">
        <v>13.05</v>
      </c>
      <c r="N1827" s="357" t="s">
        <v>135</v>
      </c>
      <c r="O1827" s="357" t="s">
        <v>135</v>
      </c>
      <c r="P1827" s="325"/>
      <c r="Q1827" s="325"/>
      <c r="R1827" s="325">
        <v>38</v>
      </c>
    </row>
    <row r="1828" spans="1:18" ht="24">
      <c r="A1828" s="321">
        <v>64.263000000000005</v>
      </c>
      <c r="B1828" s="314" t="s">
        <v>3232</v>
      </c>
      <c r="C1828" s="322" t="s">
        <v>3233</v>
      </c>
      <c r="D1828" s="323">
        <v>9.99</v>
      </c>
      <c r="E1828" s="323">
        <v>9.99</v>
      </c>
      <c r="F1828" s="323"/>
      <c r="G1828" s="323"/>
      <c r="H1828" s="324">
        <v>130.32</v>
      </c>
      <c r="I1828" s="324">
        <v>130.32</v>
      </c>
      <c r="J1828" s="324"/>
      <c r="K1828" s="324"/>
      <c r="L1828" s="357">
        <v>13.045045045045043</v>
      </c>
      <c r="M1828" s="357">
        <v>13.05</v>
      </c>
      <c r="N1828" s="357" t="s">
        <v>135</v>
      </c>
      <c r="O1828" s="357" t="s">
        <v>135</v>
      </c>
      <c r="P1828" s="325"/>
      <c r="Q1828" s="325"/>
      <c r="R1828" s="325">
        <v>38</v>
      </c>
    </row>
    <row r="1829" spans="1:18" ht="36">
      <c r="A1829" s="321">
        <v>64.263999999999996</v>
      </c>
      <c r="B1829" s="314" t="s">
        <v>3234</v>
      </c>
      <c r="C1829" s="322" t="s">
        <v>3235</v>
      </c>
      <c r="D1829" s="323">
        <v>25.88</v>
      </c>
      <c r="E1829" s="323">
        <v>25.88</v>
      </c>
      <c r="F1829" s="323"/>
      <c r="G1829" s="323"/>
      <c r="H1829" s="324">
        <v>337.77</v>
      </c>
      <c r="I1829" s="324">
        <v>337.77</v>
      </c>
      <c r="J1829" s="324"/>
      <c r="K1829" s="324"/>
      <c r="L1829" s="357">
        <v>13.051391035548686</v>
      </c>
      <c r="M1829" s="357">
        <v>13.05</v>
      </c>
      <c r="N1829" s="357" t="s">
        <v>135</v>
      </c>
      <c r="O1829" s="357" t="s">
        <v>135</v>
      </c>
      <c r="P1829" s="325"/>
      <c r="Q1829" s="325"/>
      <c r="R1829" s="325">
        <v>38</v>
      </c>
    </row>
    <row r="1830" spans="1:18" ht="36">
      <c r="A1830" s="321">
        <v>64.265000000000001</v>
      </c>
      <c r="B1830" s="314" t="s">
        <v>3236</v>
      </c>
      <c r="C1830" s="322" t="s">
        <v>3237</v>
      </c>
      <c r="D1830" s="323">
        <v>33.729999999999997</v>
      </c>
      <c r="E1830" s="323">
        <v>33.729999999999997</v>
      </c>
      <c r="F1830" s="323"/>
      <c r="G1830" s="323"/>
      <c r="H1830" s="324">
        <v>440.16</v>
      </c>
      <c r="I1830" s="324">
        <v>440.16</v>
      </c>
      <c r="J1830" s="324"/>
      <c r="K1830" s="324"/>
      <c r="L1830" s="357">
        <v>13.049510821227395</v>
      </c>
      <c r="M1830" s="357">
        <v>13.05</v>
      </c>
      <c r="N1830" s="357" t="s">
        <v>135</v>
      </c>
      <c r="O1830" s="357" t="s">
        <v>135</v>
      </c>
      <c r="P1830" s="325"/>
      <c r="Q1830" s="325"/>
      <c r="R1830" s="325">
        <v>38</v>
      </c>
    </row>
    <row r="1831" spans="1:18" ht="24">
      <c r="A1831" s="326">
        <v>64.266000000000005</v>
      </c>
      <c r="B1831" s="327" t="s">
        <v>3238</v>
      </c>
      <c r="C1831" s="328" t="s">
        <v>3239</v>
      </c>
      <c r="D1831" s="329">
        <v>33.49</v>
      </c>
      <c r="E1831" s="329">
        <v>33.119999999999997</v>
      </c>
      <c r="F1831" s="329">
        <v>0.37</v>
      </c>
      <c r="G1831" s="329"/>
      <c r="H1831" s="330">
        <v>434.97</v>
      </c>
      <c r="I1831" s="330">
        <v>432.19</v>
      </c>
      <c r="J1831" s="330">
        <v>2.78</v>
      </c>
      <c r="K1831" s="330"/>
      <c r="L1831" s="356">
        <v>12.988056136160047</v>
      </c>
      <c r="M1831" s="356">
        <v>13.05</v>
      </c>
      <c r="N1831" s="356">
        <v>7.5135135135135132</v>
      </c>
      <c r="O1831" s="356" t="s">
        <v>135</v>
      </c>
      <c r="P1831" s="331"/>
      <c r="Q1831" s="331"/>
      <c r="R1831" s="331">
        <v>38</v>
      </c>
    </row>
    <row r="1832" spans="1:18" ht="12.75">
      <c r="A1832" s="428" t="s">
        <v>3240</v>
      </c>
      <c r="B1832" s="429"/>
      <c r="C1832" s="429"/>
      <c r="D1832" s="429"/>
      <c r="E1832" s="429"/>
      <c r="F1832" s="429"/>
      <c r="G1832" s="429"/>
      <c r="H1832" s="429"/>
      <c r="I1832" s="429"/>
      <c r="J1832" s="429"/>
      <c r="K1832" s="429"/>
      <c r="L1832" s="429"/>
      <c r="M1832" s="429"/>
      <c r="N1832" s="429"/>
      <c r="O1832" s="429"/>
      <c r="P1832" s="429"/>
      <c r="Q1832" s="429"/>
      <c r="R1832" s="429"/>
    </row>
    <row r="1833" spans="1:18" ht="24">
      <c r="A1833" s="321">
        <v>64.266999999999996</v>
      </c>
      <c r="B1833" s="314" t="s">
        <v>3241</v>
      </c>
      <c r="C1833" s="322" t="s">
        <v>3242</v>
      </c>
      <c r="D1833" s="323">
        <v>4090.76</v>
      </c>
      <c r="E1833" s="323">
        <v>1152.49</v>
      </c>
      <c r="F1833" s="323">
        <v>2.2000000000000002</v>
      </c>
      <c r="G1833" s="323">
        <v>2936.07</v>
      </c>
      <c r="H1833" s="324">
        <v>29592.63</v>
      </c>
      <c r="I1833" s="324">
        <v>15040.04</v>
      </c>
      <c r="J1833" s="324">
        <v>16.670000000000002</v>
      </c>
      <c r="K1833" s="324">
        <v>14535.92</v>
      </c>
      <c r="L1833" s="357">
        <v>7.2340176397539819</v>
      </c>
      <c r="M1833" s="357">
        <v>13.05</v>
      </c>
      <c r="N1833" s="357">
        <v>7.5772727272727272</v>
      </c>
      <c r="O1833" s="357">
        <v>4.9508083935328511</v>
      </c>
      <c r="P1833" s="325"/>
      <c r="Q1833" s="325"/>
      <c r="R1833" s="325">
        <v>39</v>
      </c>
    </row>
    <row r="1834" spans="1:18" ht="24">
      <c r="A1834" s="321">
        <v>64.268000000000001</v>
      </c>
      <c r="B1834" s="314" t="s">
        <v>3243</v>
      </c>
      <c r="C1834" s="322" t="s">
        <v>3244</v>
      </c>
      <c r="D1834" s="323">
        <v>2624.61</v>
      </c>
      <c r="E1834" s="323">
        <v>861.06</v>
      </c>
      <c r="F1834" s="323">
        <v>1.1000000000000001</v>
      </c>
      <c r="G1834" s="323">
        <v>1762.45</v>
      </c>
      <c r="H1834" s="324">
        <v>19756.419999999998</v>
      </c>
      <c r="I1834" s="324">
        <v>11236.81</v>
      </c>
      <c r="J1834" s="324">
        <v>8.34</v>
      </c>
      <c r="K1834" s="324">
        <v>8511.27</v>
      </c>
      <c r="L1834" s="357">
        <v>7.5273735907430046</v>
      </c>
      <c r="M1834" s="357">
        <v>13.05</v>
      </c>
      <c r="N1834" s="357">
        <v>7.5818181818181811</v>
      </c>
      <c r="O1834" s="357">
        <v>4.8292263610315187</v>
      </c>
      <c r="P1834" s="325"/>
      <c r="Q1834" s="325"/>
      <c r="R1834" s="325">
        <v>39</v>
      </c>
    </row>
    <row r="1835" spans="1:18" ht="24">
      <c r="A1835" s="321">
        <v>64.269000000000005</v>
      </c>
      <c r="B1835" s="314" t="s">
        <v>3245</v>
      </c>
      <c r="C1835" s="322" t="s">
        <v>3246</v>
      </c>
      <c r="D1835" s="323">
        <v>144.59</v>
      </c>
      <c r="E1835" s="323">
        <v>144.59</v>
      </c>
      <c r="F1835" s="323"/>
      <c r="G1835" s="323"/>
      <c r="H1835" s="324">
        <v>1886.87</v>
      </c>
      <c r="I1835" s="324">
        <v>1886.87</v>
      </c>
      <c r="J1835" s="324"/>
      <c r="K1835" s="324"/>
      <c r="L1835" s="357">
        <v>13.049795974825367</v>
      </c>
      <c r="M1835" s="357">
        <v>13.05</v>
      </c>
      <c r="N1835" s="357" t="s">
        <v>135</v>
      </c>
      <c r="O1835" s="357" t="s">
        <v>135</v>
      </c>
      <c r="P1835" s="325"/>
      <c r="Q1835" s="325"/>
      <c r="R1835" s="325">
        <v>39</v>
      </c>
    </row>
    <row r="1836" spans="1:18" ht="24">
      <c r="A1836" s="321">
        <v>64.27</v>
      </c>
      <c r="B1836" s="314" t="s">
        <v>3247</v>
      </c>
      <c r="C1836" s="322" t="s">
        <v>3248</v>
      </c>
      <c r="D1836" s="323">
        <v>577.04999999999995</v>
      </c>
      <c r="E1836" s="323">
        <v>577.04999999999995</v>
      </c>
      <c r="F1836" s="323"/>
      <c r="G1836" s="323"/>
      <c r="H1836" s="324">
        <v>7530.47</v>
      </c>
      <c r="I1836" s="324">
        <v>7530.47</v>
      </c>
      <c r="J1836" s="324"/>
      <c r="K1836" s="324"/>
      <c r="L1836" s="357">
        <v>13.049943679057275</v>
      </c>
      <c r="M1836" s="357">
        <v>13.05</v>
      </c>
      <c r="N1836" s="357" t="s">
        <v>135</v>
      </c>
      <c r="O1836" s="357" t="s">
        <v>135</v>
      </c>
      <c r="P1836" s="325"/>
      <c r="Q1836" s="325"/>
      <c r="R1836" s="325">
        <v>39</v>
      </c>
    </row>
    <row r="1837" spans="1:18" ht="36">
      <c r="A1837" s="321">
        <v>64.271000000000001</v>
      </c>
      <c r="B1837" s="314" t="s">
        <v>3249</v>
      </c>
      <c r="C1837" s="322" t="s">
        <v>3250</v>
      </c>
      <c r="D1837" s="323">
        <v>1016.03</v>
      </c>
      <c r="E1837" s="323">
        <v>1016.03</v>
      </c>
      <c r="F1837" s="323"/>
      <c r="G1837" s="323"/>
      <c r="H1837" s="324">
        <v>13259.06</v>
      </c>
      <c r="I1837" s="324">
        <v>13259.06</v>
      </c>
      <c r="J1837" s="324"/>
      <c r="K1837" s="324"/>
      <c r="L1837" s="357">
        <v>13.049870574687755</v>
      </c>
      <c r="M1837" s="357">
        <v>13.05</v>
      </c>
      <c r="N1837" s="357" t="s">
        <v>135</v>
      </c>
      <c r="O1837" s="357" t="s">
        <v>135</v>
      </c>
      <c r="P1837" s="325"/>
      <c r="Q1837" s="325"/>
      <c r="R1837" s="325">
        <v>39</v>
      </c>
    </row>
    <row r="1838" spans="1:18" ht="36">
      <c r="A1838" s="321">
        <v>64.272000000000006</v>
      </c>
      <c r="B1838" s="314" t="s">
        <v>3251</v>
      </c>
      <c r="C1838" s="322" t="s">
        <v>3252</v>
      </c>
      <c r="D1838" s="323">
        <v>1458.91</v>
      </c>
      <c r="E1838" s="323">
        <v>1458.91</v>
      </c>
      <c r="F1838" s="323"/>
      <c r="G1838" s="323"/>
      <c r="H1838" s="324">
        <v>19038.66</v>
      </c>
      <c r="I1838" s="324">
        <v>19038.66</v>
      </c>
      <c r="J1838" s="324"/>
      <c r="K1838" s="324"/>
      <c r="L1838" s="357">
        <v>13.049920831305563</v>
      </c>
      <c r="M1838" s="357">
        <v>13.05</v>
      </c>
      <c r="N1838" s="357" t="s">
        <v>135</v>
      </c>
      <c r="O1838" s="357" t="s">
        <v>135</v>
      </c>
      <c r="P1838" s="325"/>
      <c r="Q1838" s="325"/>
      <c r="R1838" s="325">
        <v>39</v>
      </c>
    </row>
    <row r="1839" spans="1:18" ht="24">
      <c r="A1839" s="326">
        <v>64.272999999999996</v>
      </c>
      <c r="B1839" s="327" t="s">
        <v>3253</v>
      </c>
      <c r="C1839" s="328" t="s">
        <v>3254</v>
      </c>
      <c r="D1839" s="329">
        <v>1212.1500000000001</v>
      </c>
      <c r="E1839" s="329">
        <v>1211.42</v>
      </c>
      <c r="F1839" s="329">
        <v>0.73</v>
      </c>
      <c r="G1839" s="329"/>
      <c r="H1839" s="330">
        <v>15814.44</v>
      </c>
      <c r="I1839" s="330">
        <v>15808.88</v>
      </c>
      <c r="J1839" s="330">
        <v>5.56</v>
      </c>
      <c r="K1839" s="330"/>
      <c r="L1839" s="356">
        <v>13.046603143175348</v>
      </c>
      <c r="M1839" s="356">
        <v>13.05</v>
      </c>
      <c r="N1839" s="356">
        <v>7.6164383561643829</v>
      </c>
      <c r="O1839" s="356" t="s">
        <v>135</v>
      </c>
      <c r="P1839" s="331"/>
      <c r="Q1839" s="331"/>
      <c r="R1839" s="331">
        <v>39</v>
      </c>
    </row>
    <row r="1840" spans="1:18" ht="12.75">
      <c r="A1840" s="428" t="s">
        <v>3255</v>
      </c>
      <c r="B1840" s="429"/>
      <c r="C1840" s="429"/>
      <c r="D1840" s="429"/>
      <c r="E1840" s="429"/>
      <c r="F1840" s="429"/>
      <c r="G1840" s="429"/>
      <c r="H1840" s="429"/>
      <c r="I1840" s="429"/>
      <c r="J1840" s="429"/>
      <c r="K1840" s="429"/>
      <c r="L1840" s="429"/>
      <c r="M1840" s="429"/>
      <c r="N1840" s="429"/>
      <c r="O1840" s="429"/>
      <c r="P1840" s="429"/>
      <c r="Q1840" s="429"/>
      <c r="R1840" s="429"/>
    </row>
    <row r="1841" spans="1:18" ht="24">
      <c r="A1841" s="321">
        <v>64.274000000000001</v>
      </c>
      <c r="B1841" s="314" t="s">
        <v>3256</v>
      </c>
      <c r="C1841" s="322" t="s">
        <v>3257</v>
      </c>
      <c r="D1841" s="323">
        <v>5728.46</v>
      </c>
      <c r="E1841" s="323">
        <v>1417.43</v>
      </c>
      <c r="F1841" s="323">
        <v>4.3899999999999997</v>
      </c>
      <c r="G1841" s="323">
        <v>4306.6400000000003</v>
      </c>
      <c r="H1841" s="324">
        <v>39874.19</v>
      </c>
      <c r="I1841" s="324">
        <v>18497.52</v>
      </c>
      <c r="J1841" s="324">
        <v>33.35</v>
      </c>
      <c r="K1841" s="324">
        <v>21343.32</v>
      </c>
      <c r="L1841" s="357">
        <v>6.9607171910077055</v>
      </c>
      <c r="M1841" s="357">
        <v>13.05</v>
      </c>
      <c r="N1841" s="357">
        <v>7.596810933940775</v>
      </c>
      <c r="O1841" s="357">
        <v>4.9559099437148211</v>
      </c>
      <c r="P1841" s="325"/>
      <c r="Q1841" s="325"/>
      <c r="R1841" s="325">
        <v>40</v>
      </c>
    </row>
    <row r="1842" spans="1:18" ht="24">
      <c r="A1842" s="321">
        <v>64.275000000000006</v>
      </c>
      <c r="B1842" s="314" t="s">
        <v>3258</v>
      </c>
      <c r="C1842" s="322" t="s">
        <v>3259</v>
      </c>
      <c r="D1842" s="323">
        <v>3593.63</v>
      </c>
      <c r="E1842" s="323">
        <v>1046.51</v>
      </c>
      <c r="F1842" s="323">
        <v>2.93</v>
      </c>
      <c r="G1842" s="323">
        <v>2544.19</v>
      </c>
      <c r="H1842" s="324">
        <v>26088.14</v>
      </c>
      <c r="I1842" s="324">
        <v>13657.05</v>
      </c>
      <c r="J1842" s="324">
        <v>22.23</v>
      </c>
      <c r="K1842" s="324">
        <v>12408.86</v>
      </c>
      <c r="L1842" s="357">
        <v>7.2595509276135823</v>
      </c>
      <c r="M1842" s="357">
        <v>13.05</v>
      </c>
      <c r="N1842" s="357">
        <v>7.5870307167235493</v>
      </c>
      <c r="O1842" s="357">
        <v>4.8773322747121872</v>
      </c>
      <c r="P1842" s="325"/>
      <c r="Q1842" s="325"/>
      <c r="R1842" s="325">
        <v>40</v>
      </c>
    </row>
    <row r="1843" spans="1:18" ht="24">
      <c r="A1843" s="321">
        <v>64.275999999999996</v>
      </c>
      <c r="B1843" s="314" t="s">
        <v>3260</v>
      </c>
      <c r="C1843" s="322" t="s">
        <v>3261</v>
      </c>
      <c r="D1843" s="323">
        <v>216.23</v>
      </c>
      <c r="E1843" s="323">
        <v>216.23</v>
      </c>
      <c r="F1843" s="323"/>
      <c r="G1843" s="323"/>
      <c r="H1843" s="324">
        <v>2821.8</v>
      </c>
      <c r="I1843" s="324">
        <v>2821.8</v>
      </c>
      <c r="J1843" s="324"/>
      <c r="K1843" s="324"/>
      <c r="L1843" s="357">
        <v>13.049993062942239</v>
      </c>
      <c r="M1843" s="357">
        <v>13.05</v>
      </c>
      <c r="N1843" s="357" t="s">
        <v>135</v>
      </c>
      <c r="O1843" s="357" t="s">
        <v>135</v>
      </c>
      <c r="P1843" s="325"/>
      <c r="Q1843" s="325"/>
      <c r="R1843" s="325">
        <v>40</v>
      </c>
    </row>
    <row r="1844" spans="1:18" ht="24">
      <c r="A1844" s="321">
        <v>64.277000000000001</v>
      </c>
      <c r="B1844" s="314" t="s">
        <v>3262</v>
      </c>
      <c r="C1844" s="322" t="s">
        <v>3263</v>
      </c>
      <c r="D1844" s="323">
        <v>872.74</v>
      </c>
      <c r="E1844" s="323">
        <v>872.74</v>
      </c>
      <c r="F1844" s="323"/>
      <c r="G1844" s="323"/>
      <c r="H1844" s="324">
        <v>11389.2</v>
      </c>
      <c r="I1844" s="324">
        <v>11389.2</v>
      </c>
      <c r="J1844" s="324"/>
      <c r="K1844" s="324"/>
      <c r="L1844" s="357">
        <v>13.049934688452462</v>
      </c>
      <c r="M1844" s="357">
        <v>13.05</v>
      </c>
      <c r="N1844" s="357" t="s">
        <v>135</v>
      </c>
      <c r="O1844" s="357" t="s">
        <v>135</v>
      </c>
      <c r="P1844" s="325"/>
      <c r="Q1844" s="325"/>
      <c r="R1844" s="325">
        <v>40</v>
      </c>
    </row>
    <row r="1845" spans="1:18" ht="36">
      <c r="A1845" s="321">
        <v>64.278000000000006</v>
      </c>
      <c r="B1845" s="314" t="s">
        <v>3264</v>
      </c>
      <c r="C1845" s="322" t="s">
        <v>3265</v>
      </c>
      <c r="D1845" s="323">
        <v>1550.09</v>
      </c>
      <c r="E1845" s="323">
        <v>1550.09</v>
      </c>
      <c r="F1845" s="323"/>
      <c r="G1845" s="323"/>
      <c r="H1845" s="324">
        <v>20228.57</v>
      </c>
      <c r="I1845" s="324">
        <v>20228.57</v>
      </c>
      <c r="J1845" s="324"/>
      <c r="K1845" s="324"/>
      <c r="L1845" s="357">
        <v>13.049932584559606</v>
      </c>
      <c r="M1845" s="357">
        <v>13.05</v>
      </c>
      <c r="N1845" s="357" t="s">
        <v>135</v>
      </c>
      <c r="O1845" s="357" t="s">
        <v>135</v>
      </c>
      <c r="P1845" s="325"/>
      <c r="Q1845" s="325"/>
      <c r="R1845" s="325">
        <v>40</v>
      </c>
    </row>
    <row r="1846" spans="1:18" ht="36">
      <c r="A1846" s="321">
        <v>64.278999999999996</v>
      </c>
      <c r="B1846" s="314" t="s">
        <v>3266</v>
      </c>
      <c r="C1846" s="322" t="s">
        <v>3267</v>
      </c>
      <c r="D1846" s="323">
        <v>2201.39</v>
      </c>
      <c r="E1846" s="323">
        <v>2201.39</v>
      </c>
      <c r="F1846" s="323"/>
      <c r="G1846" s="323"/>
      <c r="H1846" s="324">
        <v>28727.97</v>
      </c>
      <c r="I1846" s="324">
        <v>28727.97</v>
      </c>
      <c r="J1846" s="324"/>
      <c r="K1846" s="324"/>
      <c r="L1846" s="357">
        <v>13.049923003193438</v>
      </c>
      <c r="M1846" s="357">
        <v>13.05</v>
      </c>
      <c r="N1846" s="357" t="s">
        <v>135</v>
      </c>
      <c r="O1846" s="357" t="s">
        <v>135</v>
      </c>
      <c r="P1846" s="325"/>
      <c r="Q1846" s="325"/>
      <c r="R1846" s="325">
        <v>40</v>
      </c>
    </row>
    <row r="1847" spans="1:18" ht="24">
      <c r="A1847" s="326">
        <v>64.28</v>
      </c>
      <c r="B1847" s="327" t="s">
        <v>3268</v>
      </c>
      <c r="C1847" s="328" t="s">
        <v>3269</v>
      </c>
      <c r="D1847" s="329">
        <v>1826.84</v>
      </c>
      <c r="E1847" s="329">
        <v>1824.64</v>
      </c>
      <c r="F1847" s="329">
        <v>2.2000000000000002</v>
      </c>
      <c r="G1847" s="329"/>
      <c r="H1847" s="330">
        <v>23828.07</v>
      </c>
      <c r="I1847" s="330">
        <v>23811.4</v>
      </c>
      <c r="J1847" s="330">
        <v>16.670000000000002</v>
      </c>
      <c r="K1847" s="330"/>
      <c r="L1847" s="356">
        <v>13.043326180727377</v>
      </c>
      <c r="M1847" s="356">
        <v>13.05</v>
      </c>
      <c r="N1847" s="356">
        <v>7.5772727272727272</v>
      </c>
      <c r="O1847" s="356" t="s">
        <v>135</v>
      </c>
      <c r="P1847" s="331"/>
      <c r="Q1847" s="331"/>
      <c r="R1847" s="331">
        <v>40</v>
      </c>
    </row>
    <row r="1848" spans="1:18" ht="12.75">
      <c r="A1848" s="428" t="s">
        <v>3270</v>
      </c>
      <c r="B1848" s="429"/>
      <c r="C1848" s="429"/>
      <c r="D1848" s="429"/>
      <c r="E1848" s="429"/>
      <c r="F1848" s="429"/>
      <c r="G1848" s="429"/>
      <c r="H1848" s="429"/>
      <c r="I1848" s="429"/>
      <c r="J1848" s="429"/>
      <c r="K1848" s="429"/>
      <c r="L1848" s="429"/>
      <c r="M1848" s="429"/>
      <c r="N1848" s="429"/>
      <c r="O1848" s="429"/>
      <c r="P1848" s="429"/>
      <c r="Q1848" s="429"/>
      <c r="R1848" s="429"/>
    </row>
    <row r="1849" spans="1:18" ht="24">
      <c r="A1849" s="321">
        <v>64.281000000000006</v>
      </c>
      <c r="B1849" s="314" t="s">
        <v>3271</v>
      </c>
      <c r="C1849" s="322" t="s">
        <v>3272</v>
      </c>
      <c r="D1849" s="323">
        <v>9228.6200000000008</v>
      </c>
      <c r="E1849" s="323">
        <v>2172.5100000000002</v>
      </c>
      <c r="F1849" s="323">
        <v>7.32</v>
      </c>
      <c r="G1849" s="323">
        <v>7048.79</v>
      </c>
      <c r="H1849" s="324">
        <v>63324.639999999999</v>
      </c>
      <c r="I1849" s="324">
        <v>28351.34</v>
      </c>
      <c r="J1849" s="324">
        <v>55.58</v>
      </c>
      <c r="K1849" s="324">
        <v>34917.72</v>
      </c>
      <c r="L1849" s="357">
        <v>6.8617669814121713</v>
      </c>
      <c r="M1849" s="357">
        <v>13.05</v>
      </c>
      <c r="N1849" s="357">
        <v>7.5928961748633874</v>
      </c>
      <c r="O1849" s="357">
        <v>4.9537182977503944</v>
      </c>
      <c r="P1849" s="325"/>
      <c r="Q1849" s="325"/>
      <c r="R1849" s="325">
        <v>41</v>
      </c>
    </row>
    <row r="1850" spans="1:18" ht="24">
      <c r="A1850" s="321">
        <v>64.281999999999996</v>
      </c>
      <c r="B1850" s="314" t="s">
        <v>3273</v>
      </c>
      <c r="C1850" s="322" t="s">
        <v>3274</v>
      </c>
      <c r="D1850" s="323">
        <v>5939.68</v>
      </c>
      <c r="E1850" s="323">
        <v>1629.38</v>
      </c>
      <c r="F1850" s="323">
        <v>3.66</v>
      </c>
      <c r="G1850" s="323">
        <v>4306.6400000000003</v>
      </c>
      <c r="H1850" s="324">
        <v>42231.62</v>
      </c>
      <c r="I1850" s="324">
        <v>21263.5</v>
      </c>
      <c r="J1850" s="324">
        <v>27.79</v>
      </c>
      <c r="K1850" s="324">
        <v>20940.330000000002</v>
      </c>
      <c r="L1850" s="357">
        <v>7.1100833714947607</v>
      </c>
      <c r="M1850" s="357">
        <v>13.05</v>
      </c>
      <c r="N1850" s="357">
        <v>7.5928961748633874</v>
      </c>
      <c r="O1850" s="357">
        <v>4.8623358348968102</v>
      </c>
      <c r="P1850" s="325"/>
      <c r="Q1850" s="325"/>
      <c r="R1850" s="325">
        <v>41</v>
      </c>
    </row>
    <row r="1851" spans="1:18" ht="24">
      <c r="A1851" s="321">
        <v>64.283000000000001</v>
      </c>
      <c r="B1851" s="314" t="s">
        <v>3275</v>
      </c>
      <c r="C1851" s="322" t="s">
        <v>3276</v>
      </c>
      <c r="D1851" s="323">
        <v>289.18</v>
      </c>
      <c r="E1851" s="323">
        <v>289.18</v>
      </c>
      <c r="F1851" s="323"/>
      <c r="G1851" s="323"/>
      <c r="H1851" s="324">
        <v>3773.73</v>
      </c>
      <c r="I1851" s="324">
        <v>3773.73</v>
      </c>
      <c r="J1851" s="324"/>
      <c r="K1851" s="324"/>
      <c r="L1851" s="357">
        <v>13.049761394287295</v>
      </c>
      <c r="M1851" s="357">
        <v>13.05</v>
      </c>
      <c r="N1851" s="357" t="s">
        <v>135</v>
      </c>
      <c r="O1851" s="357" t="s">
        <v>135</v>
      </c>
      <c r="P1851" s="325"/>
      <c r="Q1851" s="325"/>
      <c r="R1851" s="325">
        <v>41</v>
      </c>
    </row>
    <row r="1852" spans="1:18" ht="24">
      <c r="A1852" s="321">
        <v>64.284000000000006</v>
      </c>
      <c r="B1852" s="314" t="s">
        <v>3277</v>
      </c>
      <c r="C1852" s="322" t="s">
        <v>3278</v>
      </c>
      <c r="D1852" s="323">
        <v>1159.31</v>
      </c>
      <c r="E1852" s="323">
        <v>1159.31</v>
      </c>
      <c r="F1852" s="323"/>
      <c r="G1852" s="323"/>
      <c r="H1852" s="324">
        <v>15128.93</v>
      </c>
      <c r="I1852" s="324">
        <v>15128.93</v>
      </c>
      <c r="J1852" s="324"/>
      <c r="K1852" s="324"/>
      <c r="L1852" s="357">
        <v>13.049943500875521</v>
      </c>
      <c r="M1852" s="357">
        <v>13.05</v>
      </c>
      <c r="N1852" s="357" t="s">
        <v>135</v>
      </c>
      <c r="O1852" s="357" t="s">
        <v>135</v>
      </c>
      <c r="P1852" s="325"/>
      <c r="Q1852" s="325"/>
      <c r="R1852" s="325">
        <v>41</v>
      </c>
    </row>
    <row r="1853" spans="1:18" ht="36">
      <c r="A1853" s="321">
        <v>64.284999999999997</v>
      </c>
      <c r="B1853" s="314" t="s">
        <v>3279</v>
      </c>
      <c r="C1853" s="322" t="s">
        <v>3280</v>
      </c>
      <c r="D1853" s="323">
        <v>2807.6</v>
      </c>
      <c r="E1853" s="323">
        <v>2807.6</v>
      </c>
      <c r="F1853" s="323"/>
      <c r="G1853" s="323"/>
      <c r="H1853" s="324">
        <v>36638.949999999997</v>
      </c>
      <c r="I1853" s="324">
        <v>36638.949999999997</v>
      </c>
      <c r="J1853" s="324"/>
      <c r="K1853" s="324"/>
      <c r="L1853" s="357">
        <v>13.049918079498504</v>
      </c>
      <c r="M1853" s="357">
        <v>13.05</v>
      </c>
      <c r="N1853" s="357" t="s">
        <v>135</v>
      </c>
      <c r="O1853" s="357" t="s">
        <v>135</v>
      </c>
      <c r="P1853" s="325"/>
      <c r="Q1853" s="325"/>
      <c r="R1853" s="325">
        <v>41</v>
      </c>
    </row>
    <row r="1854" spans="1:18" ht="36">
      <c r="A1854" s="321">
        <v>64.286000000000001</v>
      </c>
      <c r="B1854" s="314" t="s">
        <v>3281</v>
      </c>
      <c r="C1854" s="322" t="s">
        <v>3282</v>
      </c>
      <c r="D1854" s="323">
        <v>2943.88</v>
      </c>
      <c r="E1854" s="323">
        <v>2943.88</v>
      </c>
      <c r="F1854" s="323"/>
      <c r="G1854" s="323"/>
      <c r="H1854" s="324">
        <v>38417.29</v>
      </c>
      <c r="I1854" s="324">
        <v>38417.29</v>
      </c>
      <c r="J1854" s="324"/>
      <c r="K1854" s="324"/>
      <c r="L1854" s="357">
        <v>13.049883147410899</v>
      </c>
      <c r="M1854" s="357">
        <v>13.05</v>
      </c>
      <c r="N1854" s="357" t="s">
        <v>135</v>
      </c>
      <c r="O1854" s="357" t="s">
        <v>135</v>
      </c>
      <c r="P1854" s="325"/>
      <c r="Q1854" s="325"/>
      <c r="R1854" s="325">
        <v>41</v>
      </c>
    </row>
    <row r="1855" spans="1:18" ht="24">
      <c r="A1855" s="326">
        <v>64.287000000000006</v>
      </c>
      <c r="B1855" s="327" t="s">
        <v>3283</v>
      </c>
      <c r="C1855" s="328" t="s">
        <v>3284</v>
      </c>
      <c r="D1855" s="329">
        <v>2491.63</v>
      </c>
      <c r="E1855" s="329">
        <v>2487.9699999999998</v>
      </c>
      <c r="F1855" s="329">
        <v>3.66</v>
      </c>
      <c r="G1855" s="329"/>
      <c r="H1855" s="330">
        <v>32495.5</v>
      </c>
      <c r="I1855" s="330">
        <v>32467.71</v>
      </c>
      <c r="J1855" s="330">
        <v>27.79</v>
      </c>
      <c r="K1855" s="330"/>
      <c r="L1855" s="356">
        <v>13.041864161211736</v>
      </c>
      <c r="M1855" s="356">
        <v>13.05</v>
      </c>
      <c r="N1855" s="356">
        <v>7.5928961748633874</v>
      </c>
      <c r="O1855" s="356" t="s">
        <v>135</v>
      </c>
      <c r="P1855" s="331"/>
      <c r="Q1855" s="331"/>
      <c r="R1855" s="331">
        <v>41</v>
      </c>
    </row>
    <row r="1856" spans="1:18" ht="12.75">
      <c r="A1856" s="428" t="s">
        <v>3285</v>
      </c>
      <c r="B1856" s="429"/>
      <c r="C1856" s="429"/>
      <c r="D1856" s="429"/>
      <c r="E1856" s="429"/>
      <c r="F1856" s="429"/>
      <c r="G1856" s="429"/>
      <c r="H1856" s="429"/>
      <c r="I1856" s="429"/>
      <c r="J1856" s="429"/>
      <c r="K1856" s="429"/>
      <c r="L1856" s="429"/>
      <c r="M1856" s="429"/>
      <c r="N1856" s="429"/>
      <c r="O1856" s="429"/>
      <c r="P1856" s="429"/>
      <c r="Q1856" s="429"/>
      <c r="R1856" s="429"/>
    </row>
    <row r="1857" spans="1:18" ht="24">
      <c r="A1857" s="321">
        <v>64.287999999999997</v>
      </c>
      <c r="B1857" s="314" t="s">
        <v>3286</v>
      </c>
      <c r="C1857" s="322" t="s">
        <v>3287</v>
      </c>
      <c r="D1857" s="323">
        <v>17219.740000000002</v>
      </c>
      <c r="E1857" s="323">
        <v>2715.64</v>
      </c>
      <c r="F1857" s="323">
        <v>14.64</v>
      </c>
      <c r="G1857" s="323">
        <v>14489.46</v>
      </c>
      <c r="H1857" s="324">
        <v>107941.07</v>
      </c>
      <c r="I1857" s="324">
        <v>35439.17</v>
      </c>
      <c r="J1857" s="324">
        <v>111.16</v>
      </c>
      <c r="K1857" s="324">
        <v>72390.740000000005</v>
      </c>
      <c r="L1857" s="357">
        <v>6.2684494655552285</v>
      </c>
      <c r="M1857" s="357">
        <v>13.05</v>
      </c>
      <c r="N1857" s="357">
        <v>7.5928961748633874</v>
      </c>
      <c r="O1857" s="357">
        <v>4.9960964728844282</v>
      </c>
      <c r="P1857" s="325"/>
      <c r="Q1857" s="325"/>
      <c r="R1857" s="325">
        <v>42</v>
      </c>
    </row>
    <row r="1858" spans="1:18" ht="24">
      <c r="A1858" s="321">
        <v>64.289000000000001</v>
      </c>
      <c r="B1858" s="314" t="s">
        <v>3288</v>
      </c>
      <c r="C1858" s="322" t="s">
        <v>3289</v>
      </c>
      <c r="D1858" s="323">
        <v>11044.95</v>
      </c>
      <c r="E1858" s="323">
        <v>2026.79</v>
      </c>
      <c r="F1858" s="323">
        <v>10.98</v>
      </c>
      <c r="G1858" s="323">
        <v>9007.18</v>
      </c>
      <c r="H1858" s="324">
        <v>70243.87</v>
      </c>
      <c r="I1858" s="324">
        <v>26449.72</v>
      </c>
      <c r="J1858" s="324">
        <v>83.37</v>
      </c>
      <c r="K1858" s="324">
        <v>43710.78</v>
      </c>
      <c r="L1858" s="357">
        <v>6.3598178353002952</v>
      </c>
      <c r="M1858" s="357">
        <v>13.05</v>
      </c>
      <c r="N1858" s="357">
        <v>7.5928961748633883</v>
      </c>
      <c r="O1858" s="357">
        <v>4.8528818120654851</v>
      </c>
      <c r="P1858" s="325"/>
      <c r="Q1858" s="325"/>
      <c r="R1858" s="325">
        <v>42</v>
      </c>
    </row>
    <row r="1859" spans="1:18" ht="24">
      <c r="A1859" s="321">
        <v>64.290000000000006</v>
      </c>
      <c r="B1859" s="314" t="s">
        <v>3290</v>
      </c>
      <c r="C1859" s="322" t="s">
        <v>3291</v>
      </c>
      <c r="D1859" s="323">
        <v>368.64</v>
      </c>
      <c r="E1859" s="323">
        <v>368.64</v>
      </c>
      <c r="F1859" s="323"/>
      <c r="G1859" s="323"/>
      <c r="H1859" s="324">
        <v>4810.66</v>
      </c>
      <c r="I1859" s="324">
        <v>4810.66</v>
      </c>
      <c r="J1859" s="324"/>
      <c r="K1859" s="324"/>
      <c r="L1859" s="357">
        <v>13.049750434027779</v>
      </c>
      <c r="M1859" s="357">
        <v>13.05</v>
      </c>
      <c r="N1859" s="357" t="s">
        <v>135</v>
      </c>
      <c r="O1859" s="357" t="s">
        <v>135</v>
      </c>
      <c r="P1859" s="325"/>
      <c r="Q1859" s="325"/>
      <c r="R1859" s="325">
        <v>42</v>
      </c>
    </row>
    <row r="1860" spans="1:18" ht="24">
      <c r="A1860" s="321">
        <v>64.290999999999997</v>
      </c>
      <c r="B1860" s="314" t="s">
        <v>3292</v>
      </c>
      <c r="C1860" s="322" t="s">
        <v>3293</v>
      </c>
      <c r="D1860" s="323">
        <v>1524.04</v>
      </c>
      <c r="E1860" s="323">
        <v>1524.04</v>
      </c>
      <c r="F1860" s="323"/>
      <c r="G1860" s="323"/>
      <c r="H1860" s="324">
        <v>19888.599999999999</v>
      </c>
      <c r="I1860" s="324">
        <v>19888.599999999999</v>
      </c>
      <c r="J1860" s="324"/>
      <c r="K1860" s="324"/>
      <c r="L1860" s="357">
        <v>13.049919949607622</v>
      </c>
      <c r="M1860" s="357">
        <v>13.05</v>
      </c>
      <c r="N1860" s="357" t="s">
        <v>135</v>
      </c>
      <c r="O1860" s="357" t="s">
        <v>135</v>
      </c>
      <c r="P1860" s="325"/>
      <c r="Q1860" s="325"/>
      <c r="R1860" s="325">
        <v>42</v>
      </c>
    </row>
    <row r="1861" spans="1:18" ht="36">
      <c r="A1861" s="321">
        <v>64.292000000000002</v>
      </c>
      <c r="B1861" s="314" t="s">
        <v>3294</v>
      </c>
      <c r="C1861" s="322" t="s">
        <v>3295</v>
      </c>
      <c r="D1861" s="323">
        <v>2580.25</v>
      </c>
      <c r="E1861" s="323">
        <v>2579.15</v>
      </c>
      <c r="F1861" s="323">
        <v>1.1000000000000001</v>
      </c>
      <c r="G1861" s="323"/>
      <c r="H1861" s="324">
        <v>33665.96</v>
      </c>
      <c r="I1861" s="324">
        <v>33657.620000000003</v>
      </c>
      <c r="J1861" s="324">
        <v>8.34</v>
      </c>
      <c r="K1861" s="324"/>
      <c r="L1861" s="357">
        <v>13.047557407227982</v>
      </c>
      <c r="M1861" s="357">
        <v>13.05</v>
      </c>
      <c r="N1861" s="357">
        <v>7.5818181818181811</v>
      </c>
      <c r="O1861" s="357" t="s">
        <v>135</v>
      </c>
      <c r="P1861" s="325"/>
      <c r="Q1861" s="325"/>
      <c r="R1861" s="325">
        <v>42</v>
      </c>
    </row>
    <row r="1862" spans="1:18" ht="36">
      <c r="A1862" s="321">
        <v>64.293000000000006</v>
      </c>
      <c r="B1862" s="314" t="s">
        <v>3296</v>
      </c>
      <c r="C1862" s="322" t="s">
        <v>3297</v>
      </c>
      <c r="D1862" s="323">
        <v>3752.59</v>
      </c>
      <c r="E1862" s="323">
        <v>3751.49</v>
      </c>
      <c r="F1862" s="323">
        <v>1.1000000000000001</v>
      </c>
      <c r="G1862" s="323"/>
      <c r="H1862" s="324">
        <v>48964.88</v>
      </c>
      <c r="I1862" s="324">
        <v>48956.54</v>
      </c>
      <c r="J1862" s="324">
        <v>8.34</v>
      </c>
      <c r="K1862" s="324"/>
      <c r="L1862" s="357">
        <v>13.048289314846544</v>
      </c>
      <c r="M1862" s="357">
        <v>13.05</v>
      </c>
      <c r="N1862" s="357">
        <v>7.5818181818181811</v>
      </c>
      <c r="O1862" s="357" t="s">
        <v>135</v>
      </c>
      <c r="P1862" s="325"/>
      <c r="Q1862" s="325"/>
      <c r="R1862" s="325">
        <v>42</v>
      </c>
    </row>
    <row r="1863" spans="1:18" ht="24">
      <c r="A1863" s="326">
        <v>64.293999999999997</v>
      </c>
      <c r="B1863" s="327" t="s">
        <v>3298</v>
      </c>
      <c r="C1863" s="328" t="s">
        <v>3299</v>
      </c>
      <c r="D1863" s="329">
        <v>3172.64</v>
      </c>
      <c r="E1863" s="329">
        <v>3165.32</v>
      </c>
      <c r="F1863" s="329">
        <v>7.32</v>
      </c>
      <c r="G1863" s="329"/>
      <c r="H1863" s="330">
        <v>41362.660000000003</v>
      </c>
      <c r="I1863" s="330">
        <v>41307.08</v>
      </c>
      <c r="J1863" s="330">
        <v>55.58</v>
      </c>
      <c r="K1863" s="330"/>
      <c r="L1863" s="356">
        <v>13.037300166422918</v>
      </c>
      <c r="M1863" s="356">
        <v>13.05</v>
      </c>
      <c r="N1863" s="356">
        <v>7.5928961748633874</v>
      </c>
      <c r="O1863" s="356" t="s">
        <v>135</v>
      </c>
      <c r="P1863" s="331"/>
      <c r="Q1863" s="331"/>
      <c r="R1863" s="331">
        <v>42</v>
      </c>
    </row>
    <row r="1864" spans="1:18" ht="12.75">
      <c r="A1864" s="428" t="s">
        <v>3300</v>
      </c>
      <c r="B1864" s="429"/>
      <c r="C1864" s="429"/>
      <c r="D1864" s="429"/>
      <c r="E1864" s="429"/>
      <c r="F1864" s="429"/>
      <c r="G1864" s="429"/>
      <c r="H1864" s="429"/>
      <c r="I1864" s="429"/>
      <c r="J1864" s="429"/>
      <c r="K1864" s="429"/>
      <c r="L1864" s="429"/>
      <c r="M1864" s="429"/>
      <c r="N1864" s="429"/>
      <c r="O1864" s="429"/>
      <c r="P1864" s="429"/>
      <c r="Q1864" s="429"/>
      <c r="R1864" s="429"/>
    </row>
    <row r="1865" spans="1:18" ht="24">
      <c r="A1865" s="321">
        <v>64.295000000000002</v>
      </c>
      <c r="B1865" s="314" t="s">
        <v>3301</v>
      </c>
      <c r="C1865" s="322" t="s">
        <v>3302</v>
      </c>
      <c r="D1865" s="323">
        <v>24788.23</v>
      </c>
      <c r="E1865" s="323">
        <v>2911.27</v>
      </c>
      <c r="F1865" s="323">
        <v>29.65</v>
      </c>
      <c r="G1865" s="323">
        <v>21847.31</v>
      </c>
      <c r="H1865" s="324">
        <v>224211.85</v>
      </c>
      <c r="I1865" s="324">
        <v>37993.230000000003</v>
      </c>
      <c r="J1865" s="324">
        <v>225.1</v>
      </c>
      <c r="K1865" s="324">
        <v>185993.52</v>
      </c>
      <c r="L1865" s="357">
        <v>9.04509317526907</v>
      </c>
      <c r="M1865" s="357">
        <v>13.05</v>
      </c>
      <c r="N1865" s="357">
        <v>7.5919055649241152</v>
      </c>
      <c r="O1865" s="357">
        <v>8.513337339928805</v>
      </c>
      <c r="P1865" s="325"/>
      <c r="Q1865" s="325"/>
      <c r="R1865" s="325">
        <v>43</v>
      </c>
    </row>
    <row r="1866" spans="1:18" ht="24">
      <c r="A1866" s="321">
        <v>64.296000000000006</v>
      </c>
      <c r="B1866" s="314" t="s">
        <v>3303</v>
      </c>
      <c r="C1866" s="322" t="s">
        <v>3304</v>
      </c>
      <c r="D1866" s="323">
        <v>16423.11</v>
      </c>
      <c r="E1866" s="323">
        <v>1851.41</v>
      </c>
      <c r="F1866" s="323">
        <v>9.52</v>
      </c>
      <c r="G1866" s="323">
        <v>14562.18</v>
      </c>
      <c r="H1866" s="324">
        <v>148153.76999999999</v>
      </c>
      <c r="I1866" s="324">
        <v>24161.59</v>
      </c>
      <c r="J1866" s="324">
        <v>72.25</v>
      </c>
      <c r="K1866" s="324">
        <v>123919.93</v>
      </c>
      <c r="L1866" s="357">
        <v>9.0210544775015205</v>
      </c>
      <c r="M1866" s="357">
        <v>13.05</v>
      </c>
      <c r="N1866" s="357">
        <v>7.5892857142857144</v>
      </c>
      <c r="O1866" s="357">
        <v>8.5097100846164508</v>
      </c>
      <c r="P1866" s="325"/>
      <c r="Q1866" s="325"/>
      <c r="R1866" s="325">
        <v>43</v>
      </c>
    </row>
    <row r="1867" spans="1:18" ht="24">
      <c r="A1867" s="321">
        <v>64.296999999999997</v>
      </c>
      <c r="B1867" s="314" t="s">
        <v>3305</v>
      </c>
      <c r="C1867" s="322" t="s">
        <v>3306</v>
      </c>
      <c r="D1867" s="323">
        <v>270.11</v>
      </c>
      <c r="E1867" s="323">
        <v>270.11</v>
      </c>
      <c r="F1867" s="323"/>
      <c r="G1867" s="323"/>
      <c r="H1867" s="324">
        <v>3525</v>
      </c>
      <c r="I1867" s="324">
        <v>3525</v>
      </c>
      <c r="J1867" s="324"/>
      <c r="K1867" s="324"/>
      <c r="L1867" s="357">
        <v>13.050238791603419</v>
      </c>
      <c r="M1867" s="357">
        <v>13.05</v>
      </c>
      <c r="N1867" s="357" t="s">
        <v>135</v>
      </c>
      <c r="O1867" s="357" t="s">
        <v>135</v>
      </c>
      <c r="P1867" s="325"/>
      <c r="Q1867" s="325"/>
      <c r="R1867" s="325">
        <v>43</v>
      </c>
    </row>
    <row r="1868" spans="1:18" ht="24">
      <c r="A1868" s="321">
        <v>64.298000000000002</v>
      </c>
      <c r="B1868" s="314" t="s">
        <v>3307</v>
      </c>
      <c r="C1868" s="322" t="s">
        <v>3308</v>
      </c>
      <c r="D1868" s="323">
        <v>797.79</v>
      </c>
      <c r="E1868" s="323">
        <v>797.79</v>
      </c>
      <c r="F1868" s="323"/>
      <c r="G1868" s="323"/>
      <c r="H1868" s="324">
        <v>10411.469999999999</v>
      </c>
      <c r="I1868" s="324">
        <v>10411.469999999999</v>
      </c>
      <c r="J1868" s="324"/>
      <c r="K1868" s="324"/>
      <c r="L1868" s="357">
        <v>13.050389200165457</v>
      </c>
      <c r="M1868" s="357">
        <v>13.05</v>
      </c>
      <c r="N1868" s="357" t="s">
        <v>135</v>
      </c>
      <c r="O1868" s="357" t="s">
        <v>135</v>
      </c>
      <c r="P1868" s="325"/>
      <c r="Q1868" s="325"/>
      <c r="R1868" s="325">
        <v>43</v>
      </c>
    </row>
    <row r="1869" spans="1:18" ht="36">
      <c r="A1869" s="321">
        <v>64.299000000000007</v>
      </c>
      <c r="B1869" s="314" t="s">
        <v>3309</v>
      </c>
      <c r="C1869" s="322" t="s">
        <v>3310</v>
      </c>
      <c r="D1869" s="323">
        <v>1881.07</v>
      </c>
      <c r="E1869" s="323">
        <v>1879.61</v>
      </c>
      <c r="F1869" s="323">
        <v>1.46</v>
      </c>
      <c r="G1869" s="323"/>
      <c r="H1869" s="324">
        <v>24540.76</v>
      </c>
      <c r="I1869" s="324">
        <v>24529.64</v>
      </c>
      <c r="J1869" s="324">
        <v>11.12</v>
      </c>
      <c r="K1869" s="324"/>
      <c r="L1869" s="357">
        <v>13.046170530602263</v>
      </c>
      <c r="M1869" s="357">
        <v>13.05</v>
      </c>
      <c r="N1869" s="357">
        <v>7.6164383561643829</v>
      </c>
      <c r="O1869" s="357" t="s">
        <v>135</v>
      </c>
      <c r="P1869" s="325"/>
      <c r="Q1869" s="325"/>
      <c r="R1869" s="325">
        <v>43</v>
      </c>
    </row>
    <row r="1870" spans="1:18" ht="36">
      <c r="A1870" s="321">
        <v>64.3</v>
      </c>
      <c r="B1870" s="314" t="s">
        <v>3311</v>
      </c>
      <c r="C1870" s="322" t="s">
        <v>3312</v>
      </c>
      <c r="D1870" s="323">
        <v>2410.14</v>
      </c>
      <c r="E1870" s="323">
        <v>2408.6799999999998</v>
      </c>
      <c r="F1870" s="323">
        <v>1.46</v>
      </c>
      <c r="G1870" s="323"/>
      <c r="H1870" s="324">
        <v>31445.39</v>
      </c>
      <c r="I1870" s="324">
        <v>31434.27</v>
      </c>
      <c r="J1870" s="324">
        <v>11.12</v>
      </c>
      <c r="K1870" s="324"/>
      <c r="L1870" s="357">
        <v>13.047121743965082</v>
      </c>
      <c r="M1870" s="357">
        <v>13.05</v>
      </c>
      <c r="N1870" s="357">
        <v>7.6164383561643829</v>
      </c>
      <c r="O1870" s="357" t="s">
        <v>135</v>
      </c>
      <c r="P1870" s="325"/>
      <c r="Q1870" s="325"/>
      <c r="R1870" s="325">
        <v>43</v>
      </c>
    </row>
    <row r="1871" spans="1:18" ht="24">
      <c r="A1871" s="326">
        <v>64.301000000000002</v>
      </c>
      <c r="B1871" s="327" t="s">
        <v>3313</v>
      </c>
      <c r="C1871" s="328" t="s">
        <v>3314</v>
      </c>
      <c r="D1871" s="329">
        <v>2626.67</v>
      </c>
      <c r="E1871" s="329">
        <v>2617.52</v>
      </c>
      <c r="F1871" s="329">
        <v>9.15</v>
      </c>
      <c r="G1871" s="329"/>
      <c r="H1871" s="330">
        <v>34229.269999999997</v>
      </c>
      <c r="I1871" s="330">
        <v>34159.79</v>
      </c>
      <c r="J1871" s="330">
        <v>69.48</v>
      </c>
      <c r="K1871" s="330"/>
      <c r="L1871" s="356">
        <v>13.031431432193612</v>
      </c>
      <c r="M1871" s="356">
        <v>13.05</v>
      </c>
      <c r="N1871" s="356">
        <v>7.5934426229508194</v>
      </c>
      <c r="O1871" s="356" t="s">
        <v>135</v>
      </c>
      <c r="P1871" s="331"/>
      <c r="Q1871" s="331"/>
      <c r="R1871" s="331">
        <v>43</v>
      </c>
    </row>
    <row r="1872" spans="1:18" ht="12.75">
      <c r="A1872" s="428" t="s">
        <v>3315</v>
      </c>
      <c r="B1872" s="429"/>
      <c r="C1872" s="429"/>
      <c r="D1872" s="429"/>
      <c r="E1872" s="429"/>
      <c r="F1872" s="429"/>
      <c r="G1872" s="429"/>
      <c r="H1872" s="429"/>
      <c r="I1872" s="429"/>
      <c r="J1872" s="429"/>
      <c r="K1872" s="429"/>
      <c r="L1872" s="429"/>
      <c r="M1872" s="429"/>
      <c r="N1872" s="429"/>
      <c r="O1872" s="429"/>
      <c r="P1872" s="429"/>
      <c r="Q1872" s="429"/>
      <c r="R1872" s="429"/>
    </row>
    <row r="1873" spans="1:18" ht="24">
      <c r="A1873" s="321">
        <v>64.302000000000007</v>
      </c>
      <c r="B1873" s="314" t="s">
        <v>3316</v>
      </c>
      <c r="C1873" s="322" t="s">
        <v>3317</v>
      </c>
      <c r="D1873" s="323">
        <v>64.989999999999995</v>
      </c>
      <c r="E1873" s="323">
        <v>18.55</v>
      </c>
      <c r="F1873" s="323"/>
      <c r="G1873" s="323">
        <v>46.44</v>
      </c>
      <c r="H1873" s="324">
        <v>1014.63</v>
      </c>
      <c r="I1873" s="324">
        <v>242.02</v>
      </c>
      <c r="J1873" s="324"/>
      <c r="K1873" s="324">
        <v>772.61</v>
      </c>
      <c r="L1873" s="357">
        <v>15.612094168333591</v>
      </c>
      <c r="M1873" s="357">
        <v>13.05</v>
      </c>
      <c r="N1873" s="357" t="s">
        <v>135</v>
      </c>
      <c r="O1873" s="357">
        <v>16.636735572782086</v>
      </c>
      <c r="P1873" s="325"/>
      <c r="Q1873" s="325"/>
      <c r="R1873" s="325">
        <v>44</v>
      </c>
    </row>
    <row r="1874" spans="1:18" ht="24">
      <c r="A1874" s="321">
        <v>64.302999999999997</v>
      </c>
      <c r="B1874" s="314" t="s">
        <v>3318</v>
      </c>
      <c r="C1874" s="322" t="s">
        <v>3319</v>
      </c>
      <c r="D1874" s="323">
        <v>43.42</v>
      </c>
      <c r="E1874" s="323">
        <v>14.37</v>
      </c>
      <c r="F1874" s="323"/>
      <c r="G1874" s="323">
        <v>29.05</v>
      </c>
      <c r="H1874" s="324">
        <v>639.01</v>
      </c>
      <c r="I1874" s="324">
        <v>187.5</v>
      </c>
      <c r="J1874" s="324"/>
      <c r="K1874" s="324">
        <v>451.51</v>
      </c>
      <c r="L1874" s="357">
        <v>14.716950713956701</v>
      </c>
      <c r="M1874" s="357">
        <v>13.05</v>
      </c>
      <c r="N1874" s="357" t="s">
        <v>135</v>
      </c>
      <c r="O1874" s="357">
        <v>15.542512908777969</v>
      </c>
      <c r="P1874" s="325"/>
      <c r="Q1874" s="325"/>
      <c r="R1874" s="325">
        <v>44</v>
      </c>
    </row>
    <row r="1875" spans="1:18" ht="24">
      <c r="A1875" s="321">
        <v>64.304000000000002</v>
      </c>
      <c r="B1875" s="314" t="s">
        <v>3320</v>
      </c>
      <c r="C1875" s="322" t="s">
        <v>3321</v>
      </c>
      <c r="D1875" s="323">
        <v>1.1399999999999999</v>
      </c>
      <c r="E1875" s="323">
        <v>1.1399999999999999</v>
      </c>
      <c r="F1875" s="323"/>
      <c r="G1875" s="323"/>
      <c r="H1875" s="324">
        <v>14.81</v>
      </c>
      <c r="I1875" s="324">
        <v>14.81</v>
      </c>
      <c r="J1875" s="324"/>
      <c r="K1875" s="324"/>
      <c r="L1875" s="357">
        <v>12.99122807017544</v>
      </c>
      <c r="M1875" s="357">
        <v>13.05</v>
      </c>
      <c r="N1875" s="357" t="s">
        <v>135</v>
      </c>
      <c r="O1875" s="357" t="s">
        <v>135</v>
      </c>
      <c r="P1875" s="325"/>
      <c r="Q1875" s="325"/>
      <c r="R1875" s="325">
        <v>44</v>
      </c>
    </row>
    <row r="1876" spans="1:18" ht="24">
      <c r="A1876" s="321">
        <v>64.305000000000007</v>
      </c>
      <c r="B1876" s="314" t="s">
        <v>3322</v>
      </c>
      <c r="C1876" s="322" t="s">
        <v>3323</v>
      </c>
      <c r="D1876" s="323">
        <v>4.2300000000000004</v>
      </c>
      <c r="E1876" s="323">
        <v>4.2300000000000004</v>
      </c>
      <c r="F1876" s="323"/>
      <c r="G1876" s="323"/>
      <c r="H1876" s="324">
        <v>55.22</v>
      </c>
      <c r="I1876" s="324">
        <v>55.22</v>
      </c>
      <c r="J1876" s="324"/>
      <c r="K1876" s="324"/>
      <c r="L1876" s="357">
        <v>13.054373522458627</v>
      </c>
      <c r="M1876" s="357">
        <v>13.05</v>
      </c>
      <c r="N1876" s="357" t="s">
        <v>135</v>
      </c>
      <c r="O1876" s="357" t="s">
        <v>135</v>
      </c>
      <c r="P1876" s="325"/>
      <c r="Q1876" s="325"/>
      <c r="R1876" s="325">
        <v>44</v>
      </c>
    </row>
    <row r="1877" spans="1:18" ht="36">
      <c r="A1877" s="321">
        <v>64.305999999999997</v>
      </c>
      <c r="B1877" s="314" t="s">
        <v>3324</v>
      </c>
      <c r="C1877" s="322" t="s">
        <v>3325</v>
      </c>
      <c r="D1877" s="323">
        <v>7.43</v>
      </c>
      <c r="E1877" s="323">
        <v>7.43</v>
      </c>
      <c r="F1877" s="323"/>
      <c r="G1877" s="323"/>
      <c r="H1877" s="324">
        <v>96.97</v>
      </c>
      <c r="I1877" s="324">
        <v>96.97</v>
      </c>
      <c r="J1877" s="324"/>
      <c r="K1877" s="324"/>
      <c r="L1877" s="357">
        <v>13.05114401076716</v>
      </c>
      <c r="M1877" s="357">
        <v>13.05</v>
      </c>
      <c r="N1877" s="357" t="s">
        <v>135</v>
      </c>
      <c r="O1877" s="357" t="s">
        <v>135</v>
      </c>
      <c r="P1877" s="325"/>
      <c r="Q1877" s="325"/>
      <c r="R1877" s="325">
        <v>44</v>
      </c>
    </row>
    <row r="1878" spans="1:18" ht="36">
      <c r="A1878" s="321">
        <v>64.307000000000002</v>
      </c>
      <c r="B1878" s="314" t="s">
        <v>3326</v>
      </c>
      <c r="C1878" s="322" t="s">
        <v>3327</v>
      </c>
      <c r="D1878" s="323">
        <v>10.42</v>
      </c>
      <c r="E1878" s="323">
        <v>10.42</v>
      </c>
      <c r="F1878" s="323"/>
      <c r="G1878" s="323"/>
      <c r="H1878" s="324">
        <v>136.03</v>
      </c>
      <c r="I1878" s="324">
        <v>136.03</v>
      </c>
      <c r="J1878" s="324"/>
      <c r="K1878" s="324"/>
      <c r="L1878" s="357">
        <v>13.054702495201536</v>
      </c>
      <c r="M1878" s="357">
        <v>13.05</v>
      </c>
      <c r="N1878" s="357" t="s">
        <v>135</v>
      </c>
      <c r="O1878" s="357" t="s">
        <v>135</v>
      </c>
      <c r="P1878" s="325"/>
      <c r="Q1878" s="325"/>
      <c r="R1878" s="325">
        <v>44</v>
      </c>
    </row>
    <row r="1879" spans="1:18" ht="24">
      <c r="A1879" s="326">
        <v>64.308000000000007</v>
      </c>
      <c r="B1879" s="327" t="s">
        <v>3328</v>
      </c>
      <c r="C1879" s="328" t="s">
        <v>3329</v>
      </c>
      <c r="D1879" s="329">
        <v>9.49</v>
      </c>
      <c r="E1879" s="329">
        <v>9.49</v>
      </c>
      <c r="F1879" s="329"/>
      <c r="G1879" s="329"/>
      <c r="H1879" s="330">
        <v>123.91</v>
      </c>
      <c r="I1879" s="330">
        <v>123.91</v>
      </c>
      <c r="J1879" s="330"/>
      <c r="K1879" s="330"/>
      <c r="L1879" s="356">
        <v>13.056902002107481</v>
      </c>
      <c r="M1879" s="356">
        <v>13.05</v>
      </c>
      <c r="N1879" s="356" t="s">
        <v>135</v>
      </c>
      <c r="O1879" s="356" t="s">
        <v>135</v>
      </c>
      <c r="P1879" s="331"/>
      <c r="Q1879" s="331"/>
      <c r="R1879" s="331">
        <v>44</v>
      </c>
    </row>
    <row r="1880" spans="1:18" ht="12.75">
      <c r="A1880" s="428" t="s">
        <v>3330</v>
      </c>
      <c r="B1880" s="429"/>
      <c r="C1880" s="429"/>
      <c r="D1880" s="429"/>
      <c r="E1880" s="429"/>
      <c r="F1880" s="429"/>
      <c r="G1880" s="429"/>
      <c r="H1880" s="429"/>
      <c r="I1880" s="429"/>
      <c r="J1880" s="429"/>
      <c r="K1880" s="429"/>
      <c r="L1880" s="429"/>
      <c r="M1880" s="429"/>
      <c r="N1880" s="429"/>
      <c r="O1880" s="429"/>
      <c r="P1880" s="429"/>
      <c r="Q1880" s="429"/>
      <c r="R1880" s="429"/>
    </row>
    <row r="1881" spans="1:18" ht="24">
      <c r="A1881" s="321">
        <v>64.308999999999997</v>
      </c>
      <c r="B1881" s="314" t="s">
        <v>3331</v>
      </c>
      <c r="C1881" s="322" t="s">
        <v>3332</v>
      </c>
      <c r="D1881" s="323">
        <v>67.64</v>
      </c>
      <c r="E1881" s="323">
        <v>21.2</v>
      </c>
      <c r="F1881" s="323"/>
      <c r="G1881" s="323">
        <v>46.44</v>
      </c>
      <c r="H1881" s="324">
        <v>1051.26</v>
      </c>
      <c r="I1881" s="324">
        <v>276.60000000000002</v>
      </c>
      <c r="J1881" s="324"/>
      <c r="K1881" s="324">
        <v>774.66</v>
      </c>
      <c r="L1881" s="357">
        <v>15.541986989946777</v>
      </c>
      <c r="M1881" s="357">
        <v>13.05</v>
      </c>
      <c r="N1881" s="357" t="s">
        <v>135</v>
      </c>
      <c r="O1881" s="357">
        <v>16.680878552971578</v>
      </c>
      <c r="P1881" s="325"/>
      <c r="Q1881" s="325"/>
      <c r="R1881" s="325">
        <v>45</v>
      </c>
    </row>
    <row r="1882" spans="1:18" ht="24">
      <c r="A1882" s="321">
        <v>64.31</v>
      </c>
      <c r="B1882" s="314" t="s">
        <v>3333</v>
      </c>
      <c r="C1882" s="322" t="s">
        <v>3334</v>
      </c>
      <c r="D1882" s="323">
        <v>45.25</v>
      </c>
      <c r="E1882" s="323">
        <v>16.2</v>
      </c>
      <c r="F1882" s="323"/>
      <c r="G1882" s="323">
        <v>29.05</v>
      </c>
      <c r="H1882" s="324">
        <v>666.32</v>
      </c>
      <c r="I1882" s="324">
        <v>211.44</v>
      </c>
      <c r="J1882" s="324"/>
      <c r="K1882" s="324">
        <v>454.88</v>
      </c>
      <c r="L1882" s="357">
        <v>14.725303867403316</v>
      </c>
      <c r="M1882" s="357">
        <v>13.05</v>
      </c>
      <c r="N1882" s="357" t="s">
        <v>135</v>
      </c>
      <c r="O1882" s="357">
        <v>15.658519793459552</v>
      </c>
      <c r="P1882" s="325"/>
      <c r="Q1882" s="325"/>
      <c r="R1882" s="325">
        <v>45</v>
      </c>
    </row>
    <row r="1883" spans="1:18" ht="24">
      <c r="A1883" s="321">
        <v>64.311000000000007</v>
      </c>
      <c r="B1883" s="314" t="s">
        <v>3335</v>
      </c>
      <c r="C1883" s="322" t="s">
        <v>3336</v>
      </c>
      <c r="D1883" s="323">
        <v>1.44</v>
      </c>
      <c r="E1883" s="323">
        <v>1.44</v>
      </c>
      <c r="F1883" s="323"/>
      <c r="G1883" s="323"/>
      <c r="H1883" s="324">
        <v>18.86</v>
      </c>
      <c r="I1883" s="324">
        <v>18.86</v>
      </c>
      <c r="J1883" s="324"/>
      <c r="K1883" s="324"/>
      <c r="L1883" s="357">
        <v>13.097222222222221</v>
      </c>
      <c r="M1883" s="357">
        <v>13.05</v>
      </c>
      <c r="N1883" s="357" t="s">
        <v>135</v>
      </c>
      <c r="O1883" s="357" t="s">
        <v>135</v>
      </c>
      <c r="P1883" s="325"/>
      <c r="Q1883" s="325"/>
      <c r="R1883" s="325">
        <v>45</v>
      </c>
    </row>
    <row r="1884" spans="1:18" ht="24">
      <c r="A1884" s="321">
        <v>64.311999999999998</v>
      </c>
      <c r="B1884" s="314" t="s">
        <v>3337</v>
      </c>
      <c r="C1884" s="322" t="s">
        <v>3338</v>
      </c>
      <c r="D1884" s="323">
        <v>5.78</v>
      </c>
      <c r="E1884" s="323">
        <v>5.78</v>
      </c>
      <c r="F1884" s="323"/>
      <c r="G1884" s="323"/>
      <c r="H1884" s="324">
        <v>75.42</v>
      </c>
      <c r="I1884" s="324">
        <v>75.42</v>
      </c>
      <c r="J1884" s="324"/>
      <c r="K1884" s="324"/>
      <c r="L1884" s="357">
        <v>13.048442906574394</v>
      </c>
      <c r="M1884" s="357">
        <v>13.05</v>
      </c>
      <c r="N1884" s="357" t="s">
        <v>135</v>
      </c>
      <c r="O1884" s="357" t="s">
        <v>135</v>
      </c>
      <c r="P1884" s="325"/>
      <c r="Q1884" s="325"/>
      <c r="R1884" s="325">
        <v>45</v>
      </c>
    </row>
    <row r="1885" spans="1:18" ht="36">
      <c r="A1885" s="321">
        <v>64.313000000000002</v>
      </c>
      <c r="B1885" s="314" t="s">
        <v>3339</v>
      </c>
      <c r="C1885" s="322" t="s">
        <v>3340</v>
      </c>
      <c r="D1885" s="323">
        <v>10.11</v>
      </c>
      <c r="E1885" s="323">
        <v>10.11</v>
      </c>
      <c r="F1885" s="323"/>
      <c r="G1885" s="323"/>
      <c r="H1885" s="324">
        <v>131.99</v>
      </c>
      <c r="I1885" s="324">
        <v>131.99</v>
      </c>
      <c r="J1885" s="324"/>
      <c r="K1885" s="324"/>
      <c r="L1885" s="357">
        <v>13.055390702274977</v>
      </c>
      <c r="M1885" s="357">
        <v>13.05</v>
      </c>
      <c r="N1885" s="357" t="s">
        <v>135</v>
      </c>
      <c r="O1885" s="357" t="s">
        <v>135</v>
      </c>
      <c r="P1885" s="325"/>
      <c r="Q1885" s="325"/>
      <c r="R1885" s="325">
        <v>45</v>
      </c>
    </row>
    <row r="1886" spans="1:18" ht="36">
      <c r="A1886" s="321">
        <v>64.313999999999993</v>
      </c>
      <c r="B1886" s="314" t="s">
        <v>3341</v>
      </c>
      <c r="C1886" s="322" t="s">
        <v>3342</v>
      </c>
      <c r="D1886" s="323">
        <v>14.55</v>
      </c>
      <c r="E1886" s="323">
        <v>14.55</v>
      </c>
      <c r="F1886" s="323"/>
      <c r="G1886" s="323"/>
      <c r="H1886" s="324">
        <v>189.9</v>
      </c>
      <c r="I1886" s="324">
        <v>189.9</v>
      </c>
      <c r="J1886" s="324"/>
      <c r="K1886" s="324"/>
      <c r="L1886" s="357">
        <v>13.051546391752577</v>
      </c>
      <c r="M1886" s="357">
        <v>13.05</v>
      </c>
      <c r="N1886" s="357" t="s">
        <v>135</v>
      </c>
      <c r="O1886" s="357" t="s">
        <v>135</v>
      </c>
      <c r="P1886" s="325"/>
      <c r="Q1886" s="325"/>
      <c r="R1886" s="325">
        <v>45</v>
      </c>
    </row>
    <row r="1887" spans="1:18" ht="24">
      <c r="A1887" s="326">
        <v>64.314999999999998</v>
      </c>
      <c r="B1887" s="327" t="s">
        <v>3343</v>
      </c>
      <c r="C1887" s="328" t="s">
        <v>3344</v>
      </c>
      <c r="D1887" s="329">
        <v>13</v>
      </c>
      <c r="E1887" s="329">
        <v>13</v>
      </c>
      <c r="F1887" s="329"/>
      <c r="G1887" s="329"/>
      <c r="H1887" s="330">
        <v>169.7</v>
      </c>
      <c r="I1887" s="330">
        <v>169.7</v>
      </c>
      <c r="J1887" s="330"/>
      <c r="K1887" s="330"/>
      <c r="L1887" s="356">
        <v>13.053846153846154</v>
      </c>
      <c r="M1887" s="356">
        <v>13.05</v>
      </c>
      <c r="N1887" s="356" t="s">
        <v>135</v>
      </c>
      <c r="O1887" s="356" t="s">
        <v>135</v>
      </c>
      <c r="P1887" s="331"/>
      <c r="Q1887" s="331"/>
      <c r="R1887" s="331">
        <v>45</v>
      </c>
    </row>
    <row r="1888" spans="1:18" ht="12.75">
      <c r="A1888" s="428" t="s">
        <v>3345</v>
      </c>
      <c r="B1888" s="429"/>
      <c r="C1888" s="429"/>
      <c r="D1888" s="429"/>
      <c r="E1888" s="429"/>
      <c r="F1888" s="429"/>
      <c r="G1888" s="429"/>
      <c r="H1888" s="429"/>
      <c r="I1888" s="429"/>
      <c r="J1888" s="429"/>
      <c r="K1888" s="429"/>
      <c r="L1888" s="429"/>
      <c r="M1888" s="429"/>
      <c r="N1888" s="429"/>
      <c r="O1888" s="429"/>
      <c r="P1888" s="429"/>
      <c r="Q1888" s="429"/>
      <c r="R1888" s="429"/>
    </row>
    <row r="1889" spans="1:18" ht="24">
      <c r="A1889" s="321">
        <v>64.316000000000003</v>
      </c>
      <c r="B1889" s="314" t="s">
        <v>3346</v>
      </c>
      <c r="C1889" s="322" t="s">
        <v>3347</v>
      </c>
      <c r="D1889" s="323">
        <v>82.08</v>
      </c>
      <c r="E1889" s="323">
        <v>34.54</v>
      </c>
      <c r="F1889" s="323">
        <v>1.1000000000000001</v>
      </c>
      <c r="G1889" s="323">
        <v>46.44</v>
      </c>
      <c r="H1889" s="324">
        <v>1244.43</v>
      </c>
      <c r="I1889" s="324">
        <v>450.8</v>
      </c>
      <c r="J1889" s="324">
        <v>8.34</v>
      </c>
      <c r="K1889" s="324">
        <v>785.29</v>
      </c>
      <c r="L1889" s="357">
        <v>15.161184210526317</v>
      </c>
      <c r="M1889" s="357">
        <v>13.05</v>
      </c>
      <c r="N1889" s="357">
        <v>7.5818181818181811</v>
      </c>
      <c r="O1889" s="357">
        <v>16.909776055124894</v>
      </c>
      <c r="P1889" s="325"/>
      <c r="Q1889" s="325"/>
      <c r="R1889" s="325">
        <v>46</v>
      </c>
    </row>
    <row r="1890" spans="1:18" ht="24">
      <c r="A1890" s="321">
        <v>64.316999999999993</v>
      </c>
      <c r="B1890" s="314" t="s">
        <v>3348</v>
      </c>
      <c r="C1890" s="322" t="s">
        <v>3349</v>
      </c>
      <c r="D1890" s="323">
        <v>54.13</v>
      </c>
      <c r="E1890" s="323">
        <v>24.35</v>
      </c>
      <c r="F1890" s="323">
        <v>0.73</v>
      </c>
      <c r="G1890" s="323">
        <v>29.05</v>
      </c>
      <c r="H1890" s="324">
        <v>866.84</v>
      </c>
      <c r="I1890" s="324">
        <v>317.82</v>
      </c>
      <c r="J1890" s="324">
        <v>5.56</v>
      </c>
      <c r="K1890" s="324">
        <v>543.46</v>
      </c>
      <c r="L1890" s="357">
        <v>16.014040273415851</v>
      </c>
      <c r="M1890" s="357">
        <v>13.05</v>
      </c>
      <c r="N1890" s="357">
        <v>7.6164383561643829</v>
      </c>
      <c r="O1890" s="357">
        <v>18.707745266781412</v>
      </c>
      <c r="P1890" s="325"/>
      <c r="Q1890" s="325"/>
      <c r="R1890" s="325">
        <v>46</v>
      </c>
    </row>
    <row r="1891" spans="1:18" ht="24">
      <c r="A1891" s="321">
        <v>64.317999999999998</v>
      </c>
      <c r="B1891" s="314" t="s">
        <v>3350</v>
      </c>
      <c r="C1891" s="322" t="s">
        <v>3351</v>
      </c>
      <c r="D1891" s="323">
        <v>1.96</v>
      </c>
      <c r="E1891" s="323">
        <v>1.96</v>
      </c>
      <c r="F1891" s="323"/>
      <c r="G1891" s="323"/>
      <c r="H1891" s="324">
        <v>25.59</v>
      </c>
      <c r="I1891" s="324">
        <v>25.59</v>
      </c>
      <c r="J1891" s="324"/>
      <c r="K1891" s="324"/>
      <c r="L1891" s="357">
        <v>13.056122448979592</v>
      </c>
      <c r="M1891" s="357">
        <v>13.05</v>
      </c>
      <c r="N1891" s="357" t="s">
        <v>135</v>
      </c>
      <c r="O1891" s="357" t="s">
        <v>135</v>
      </c>
      <c r="P1891" s="325"/>
      <c r="Q1891" s="325"/>
      <c r="R1891" s="325">
        <v>46</v>
      </c>
    </row>
    <row r="1892" spans="1:18" ht="24">
      <c r="A1892" s="321">
        <v>64.319000000000003</v>
      </c>
      <c r="B1892" s="314" t="s">
        <v>3352</v>
      </c>
      <c r="C1892" s="322" t="s">
        <v>3353</v>
      </c>
      <c r="D1892" s="323">
        <v>7.74</v>
      </c>
      <c r="E1892" s="323">
        <v>7.74</v>
      </c>
      <c r="F1892" s="323"/>
      <c r="G1892" s="323"/>
      <c r="H1892" s="324">
        <v>101.01</v>
      </c>
      <c r="I1892" s="324">
        <v>101.01</v>
      </c>
      <c r="J1892" s="324"/>
      <c r="K1892" s="324"/>
      <c r="L1892" s="357">
        <v>13.050387596899226</v>
      </c>
      <c r="M1892" s="357">
        <v>13.05</v>
      </c>
      <c r="N1892" s="357" t="s">
        <v>135</v>
      </c>
      <c r="O1892" s="357" t="s">
        <v>135</v>
      </c>
      <c r="P1892" s="325"/>
      <c r="Q1892" s="325"/>
      <c r="R1892" s="325">
        <v>46</v>
      </c>
    </row>
    <row r="1893" spans="1:18" ht="36">
      <c r="A1893" s="321">
        <v>64.319999999999993</v>
      </c>
      <c r="B1893" s="314" t="s">
        <v>3354</v>
      </c>
      <c r="C1893" s="322" t="s">
        <v>3355</v>
      </c>
      <c r="D1893" s="323">
        <v>13.93</v>
      </c>
      <c r="E1893" s="323">
        <v>13.93</v>
      </c>
      <c r="F1893" s="323"/>
      <c r="G1893" s="323"/>
      <c r="H1893" s="324">
        <v>181.82</v>
      </c>
      <c r="I1893" s="324">
        <v>181.82</v>
      </c>
      <c r="J1893" s="324"/>
      <c r="K1893" s="324"/>
      <c r="L1893" s="357">
        <v>13.05240488155061</v>
      </c>
      <c r="M1893" s="357">
        <v>13.05</v>
      </c>
      <c r="N1893" s="357" t="s">
        <v>135</v>
      </c>
      <c r="O1893" s="357" t="s">
        <v>135</v>
      </c>
      <c r="P1893" s="325"/>
      <c r="Q1893" s="325"/>
      <c r="R1893" s="325">
        <v>46</v>
      </c>
    </row>
    <row r="1894" spans="1:18" ht="36">
      <c r="A1894" s="321">
        <v>64.320999999999998</v>
      </c>
      <c r="B1894" s="314" t="s">
        <v>3356</v>
      </c>
      <c r="C1894" s="322" t="s">
        <v>3357</v>
      </c>
      <c r="D1894" s="323">
        <v>19.809999999999999</v>
      </c>
      <c r="E1894" s="323">
        <v>19.809999999999999</v>
      </c>
      <c r="F1894" s="323"/>
      <c r="G1894" s="323"/>
      <c r="H1894" s="324">
        <v>258.58999999999997</v>
      </c>
      <c r="I1894" s="324">
        <v>258.58999999999997</v>
      </c>
      <c r="J1894" s="324"/>
      <c r="K1894" s="324"/>
      <c r="L1894" s="357">
        <v>13.053508329126704</v>
      </c>
      <c r="M1894" s="357">
        <v>13.05</v>
      </c>
      <c r="N1894" s="357" t="s">
        <v>135</v>
      </c>
      <c r="O1894" s="357" t="s">
        <v>135</v>
      </c>
      <c r="P1894" s="325"/>
      <c r="Q1894" s="325"/>
      <c r="R1894" s="325">
        <v>46</v>
      </c>
    </row>
    <row r="1895" spans="1:18" ht="24">
      <c r="A1895" s="326">
        <v>64.322000000000003</v>
      </c>
      <c r="B1895" s="327" t="s">
        <v>3358</v>
      </c>
      <c r="C1895" s="328" t="s">
        <v>3359</v>
      </c>
      <c r="D1895" s="329">
        <v>19</v>
      </c>
      <c r="E1895" s="329">
        <v>18.27</v>
      </c>
      <c r="F1895" s="329">
        <v>0.73</v>
      </c>
      <c r="G1895" s="329"/>
      <c r="H1895" s="330">
        <v>243.94</v>
      </c>
      <c r="I1895" s="330">
        <v>238.38</v>
      </c>
      <c r="J1895" s="330">
        <v>5.56</v>
      </c>
      <c r="K1895" s="330"/>
      <c r="L1895" s="356">
        <v>12.838947368421053</v>
      </c>
      <c r="M1895" s="356">
        <v>13.05</v>
      </c>
      <c r="N1895" s="356">
        <v>7.6164383561643829</v>
      </c>
      <c r="O1895" s="356" t="s">
        <v>135</v>
      </c>
      <c r="P1895" s="331"/>
      <c r="Q1895" s="331"/>
      <c r="R1895" s="331">
        <v>46</v>
      </c>
    </row>
    <row r="1896" spans="1:18" ht="12.75">
      <c r="A1896" s="428" t="s">
        <v>3360</v>
      </c>
      <c r="B1896" s="429"/>
      <c r="C1896" s="429"/>
      <c r="D1896" s="429"/>
      <c r="E1896" s="429"/>
      <c r="F1896" s="429"/>
      <c r="G1896" s="429"/>
      <c r="H1896" s="429"/>
      <c r="I1896" s="429"/>
      <c r="J1896" s="429"/>
      <c r="K1896" s="429"/>
      <c r="L1896" s="429"/>
      <c r="M1896" s="429"/>
      <c r="N1896" s="429"/>
      <c r="O1896" s="429"/>
      <c r="P1896" s="429"/>
      <c r="Q1896" s="429"/>
      <c r="R1896" s="429"/>
    </row>
    <row r="1897" spans="1:18" ht="24">
      <c r="A1897" s="321">
        <v>64.322999999999993</v>
      </c>
      <c r="B1897" s="314" t="s">
        <v>3361</v>
      </c>
      <c r="C1897" s="322" t="s">
        <v>3362</v>
      </c>
      <c r="D1897" s="323">
        <v>255.29</v>
      </c>
      <c r="E1897" s="323">
        <v>55.13</v>
      </c>
      <c r="F1897" s="323">
        <v>1.83</v>
      </c>
      <c r="G1897" s="323">
        <v>198.33</v>
      </c>
      <c r="H1897" s="324">
        <v>4072.99</v>
      </c>
      <c r="I1897" s="324">
        <v>719.42</v>
      </c>
      <c r="J1897" s="324">
        <v>13.9</v>
      </c>
      <c r="K1897" s="324">
        <v>3339.67</v>
      </c>
      <c r="L1897" s="357">
        <v>15.954365623408671</v>
      </c>
      <c r="M1897" s="357">
        <v>13.05</v>
      </c>
      <c r="N1897" s="357">
        <v>7.5956284153005464</v>
      </c>
      <c r="O1897" s="357">
        <v>16.838955276559268</v>
      </c>
      <c r="P1897" s="325"/>
      <c r="Q1897" s="325"/>
      <c r="R1897" s="325">
        <v>47</v>
      </c>
    </row>
    <row r="1898" spans="1:18" ht="24">
      <c r="A1898" s="321">
        <v>64.323999999999998</v>
      </c>
      <c r="B1898" s="314" t="s">
        <v>3363</v>
      </c>
      <c r="C1898" s="322" t="s">
        <v>3364</v>
      </c>
      <c r="D1898" s="323">
        <v>166.4</v>
      </c>
      <c r="E1898" s="323">
        <v>40.96</v>
      </c>
      <c r="F1898" s="323">
        <v>1.46</v>
      </c>
      <c r="G1898" s="323">
        <v>123.98</v>
      </c>
      <c r="H1898" s="324">
        <v>2855.42</v>
      </c>
      <c r="I1898" s="324">
        <v>534.58000000000004</v>
      </c>
      <c r="J1898" s="324">
        <v>11.12</v>
      </c>
      <c r="K1898" s="324">
        <v>2309.7199999999998</v>
      </c>
      <c r="L1898" s="357">
        <v>17.159975961538461</v>
      </c>
      <c r="M1898" s="357">
        <v>13.05</v>
      </c>
      <c r="N1898" s="357">
        <v>7.6164383561643829</v>
      </c>
      <c r="O1898" s="357">
        <v>18.629778996612355</v>
      </c>
      <c r="P1898" s="325"/>
      <c r="Q1898" s="325"/>
      <c r="R1898" s="325">
        <v>47</v>
      </c>
    </row>
    <row r="1899" spans="1:18" ht="24">
      <c r="A1899" s="321">
        <v>64.325000000000003</v>
      </c>
      <c r="B1899" s="314" t="s">
        <v>3365</v>
      </c>
      <c r="C1899" s="322" t="s">
        <v>3366</v>
      </c>
      <c r="D1899" s="323">
        <v>2.89</v>
      </c>
      <c r="E1899" s="323">
        <v>2.89</v>
      </c>
      <c r="F1899" s="323"/>
      <c r="G1899" s="323"/>
      <c r="H1899" s="324">
        <v>37.71</v>
      </c>
      <c r="I1899" s="324">
        <v>37.71</v>
      </c>
      <c r="J1899" s="324"/>
      <c r="K1899" s="324"/>
      <c r="L1899" s="357">
        <v>13.048442906574394</v>
      </c>
      <c r="M1899" s="357">
        <v>13.05</v>
      </c>
      <c r="N1899" s="357" t="s">
        <v>135</v>
      </c>
      <c r="O1899" s="357" t="s">
        <v>135</v>
      </c>
      <c r="P1899" s="325"/>
      <c r="Q1899" s="325"/>
      <c r="R1899" s="325">
        <v>47</v>
      </c>
    </row>
    <row r="1900" spans="1:18" ht="24">
      <c r="A1900" s="321">
        <v>64.325999999999993</v>
      </c>
      <c r="B1900" s="314" t="s">
        <v>3367</v>
      </c>
      <c r="C1900" s="322" t="s">
        <v>3368</v>
      </c>
      <c r="D1900" s="323">
        <v>13</v>
      </c>
      <c r="E1900" s="323">
        <v>13</v>
      </c>
      <c r="F1900" s="323"/>
      <c r="G1900" s="323"/>
      <c r="H1900" s="324">
        <v>169.7</v>
      </c>
      <c r="I1900" s="324">
        <v>169.7</v>
      </c>
      <c r="J1900" s="324"/>
      <c r="K1900" s="324"/>
      <c r="L1900" s="357">
        <v>13.053846153846154</v>
      </c>
      <c r="M1900" s="357">
        <v>13.05</v>
      </c>
      <c r="N1900" s="357" t="s">
        <v>135</v>
      </c>
      <c r="O1900" s="357" t="s">
        <v>135</v>
      </c>
      <c r="P1900" s="325"/>
      <c r="Q1900" s="325"/>
      <c r="R1900" s="325">
        <v>47</v>
      </c>
    </row>
    <row r="1901" spans="1:18" ht="36">
      <c r="A1901" s="321">
        <v>64.326999999999998</v>
      </c>
      <c r="B1901" s="314" t="s">
        <v>3369</v>
      </c>
      <c r="C1901" s="322" t="s">
        <v>3370</v>
      </c>
      <c r="D1901" s="323">
        <v>21.88</v>
      </c>
      <c r="E1901" s="323">
        <v>21.88</v>
      </c>
      <c r="F1901" s="323"/>
      <c r="G1901" s="323"/>
      <c r="H1901" s="324">
        <v>285.52</v>
      </c>
      <c r="I1901" s="324">
        <v>285.52</v>
      </c>
      <c r="J1901" s="324"/>
      <c r="K1901" s="324"/>
      <c r="L1901" s="357">
        <v>13.049360146252285</v>
      </c>
      <c r="M1901" s="357">
        <v>13.05</v>
      </c>
      <c r="N1901" s="357" t="s">
        <v>135</v>
      </c>
      <c r="O1901" s="357" t="s">
        <v>135</v>
      </c>
      <c r="P1901" s="325"/>
      <c r="Q1901" s="325"/>
      <c r="R1901" s="325">
        <v>47</v>
      </c>
    </row>
    <row r="1902" spans="1:18" ht="36">
      <c r="A1902" s="321">
        <v>64.328000000000003</v>
      </c>
      <c r="B1902" s="314" t="s">
        <v>3371</v>
      </c>
      <c r="C1902" s="322" t="s">
        <v>3372</v>
      </c>
      <c r="D1902" s="323">
        <v>31.58</v>
      </c>
      <c r="E1902" s="323">
        <v>31.58</v>
      </c>
      <c r="F1902" s="323"/>
      <c r="G1902" s="323"/>
      <c r="H1902" s="324">
        <v>412.12</v>
      </c>
      <c r="I1902" s="324">
        <v>412.12</v>
      </c>
      <c r="J1902" s="324"/>
      <c r="K1902" s="324"/>
      <c r="L1902" s="357">
        <v>13.050031665611147</v>
      </c>
      <c r="M1902" s="357">
        <v>13.05</v>
      </c>
      <c r="N1902" s="357" t="s">
        <v>135</v>
      </c>
      <c r="O1902" s="357" t="s">
        <v>135</v>
      </c>
      <c r="P1902" s="325"/>
      <c r="Q1902" s="325"/>
      <c r="R1902" s="325">
        <v>47</v>
      </c>
    </row>
    <row r="1903" spans="1:18" ht="24">
      <c r="A1903" s="326">
        <v>64.328999999999994</v>
      </c>
      <c r="B1903" s="327" t="s">
        <v>3373</v>
      </c>
      <c r="C1903" s="328" t="s">
        <v>3374</v>
      </c>
      <c r="D1903" s="329">
        <v>29.17</v>
      </c>
      <c r="E1903" s="329">
        <v>28.07</v>
      </c>
      <c r="F1903" s="329">
        <v>1.1000000000000001</v>
      </c>
      <c r="G1903" s="329"/>
      <c r="H1903" s="330">
        <v>374.67</v>
      </c>
      <c r="I1903" s="330">
        <v>366.33</v>
      </c>
      <c r="J1903" s="330">
        <v>8.34</v>
      </c>
      <c r="K1903" s="330"/>
      <c r="L1903" s="356">
        <v>12.844360644497771</v>
      </c>
      <c r="M1903" s="356">
        <v>13.05</v>
      </c>
      <c r="N1903" s="356">
        <v>7.5818181818181811</v>
      </c>
      <c r="O1903" s="356" t="s">
        <v>135</v>
      </c>
      <c r="P1903" s="331"/>
      <c r="Q1903" s="331"/>
      <c r="R1903" s="331">
        <v>47</v>
      </c>
    </row>
    <row r="1904" spans="1:18" ht="12.75">
      <c r="A1904" s="428" t="s">
        <v>3375</v>
      </c>
      <c r="B1904" s="429"/>
      <c r="C1904" s="429"/>
      <c r="D1904" s="429"/>
      <c r="E1904" s="429"/>
      <c r="F1904" s="429"/>
      <c r="G1904" s="429"/>
      <c r="H1904" s="429"/>
      <c r="I1904" s="429"/>
      <c r="J1904" s="429"/>
      <c r="K1904" s="429"/>
      <c r="L1904" s="429"/>
      <c r="M1904" s="429"/>
      <c r="N1904" s="429"/>
      <c r="O1904" s="429"/>
      <c r="P1904" s="429"/>
      <c r="Q1904" s="429"/>
      <c r="R1904" s="429"/>
    </row>
    <row r="1905" spans="1:18" ht="24">
      <c r="A1905" s="321">
        <v>64.33</v>
      </c>
      <c r="B1905" s="314" t="s">
        <v>3376</v>
      </c>
      <c r="C1905" s="322" t="s">
        <v>3377</v>
      </c>
      <c r="D1905" s="323">
        <v>50.29</v>
      </c>
      <c r="E1905" s="323">
        <v>6.91</v>
      </c>
      <c r="F1905" s="323">
        <v>0.37</v>
      </c>
      <c r="G1905" s="323">
        <v>43.01</v>
      </c>
      <c r="H1905" s="324">
        <v>522.28</v>
      </c>
      <c r="I1905" s="324">
        <v>90.24</v>
      </c>
      <c r="J1905" s="324">
        <v>2.78</v>
      </c>
      <c r="K1905" s="324">
        <v>429.26</v>
      </c>
      <c r="L1905" s="357">
        <v>10.385364883674686</v>
      </c>
      <c r="M1905" s="357">
        <v>13.05</v>
      </c>
      <c r="N1905" s="357">
        <v>7.5135135135135132</v>
      </c>
      <c r="O1905" s="357">
        <v>9.9804696582190182</v>
      </c>
      <c r="P1905" s="325"/>
      <c r="Q1905" s="325"/>
      <c r="R1905" s="325">
        <v>48</v>
      </c>
    </row>
    <row r="1906" spans="1:18" ht="36">
      <c r="A1906" s="321">
        <v>64.331000000000003</v>
      </c>
      <c r="B1906" s="314" t="s">
        <v>3378</v>
      </c>
      <c r="C1906" s="322" t="s">
        <v>3379</v>
      </c>
      <c r="D1906" s="323">
        <v>0.62</v>
      </c>
      <c r="E1906" s="323">
        <v>0.62</v>
      </c>
      <c r="F1906" s="323"/>
      <c r="G1906" s="323"/>
      <c r="H1906" s="324">
        <v>8.08</v>
      </c>
      <c r="I1906" s="324">
        <v>8.08</v>
      </c>
      <c r="J1906" s="324"/>
      <c r="K1906" s="324"/>
      <c r="L1906" s="357">
        <v>13.03225806451613</v>
      </c>
      <c r="M1906" s="357">
        <v>13.05</v>
      </c>
      <c r="N1906" s="357" t="s">
        <v>135</v>
      </c>
      <c r="O1906" s="357" t="s">
        <v>135</v>
      </c>
      <c r="P1906" s="325"/>
      <c r="Q1906" s="325"/>
      <c r="R1906" s="325">
        <v>48</v>
      </c>
    </row>
    <row r="1907" spans="1:18" ht="36">
      <c r="A1907" s="321">
        <v>64.331999999999994</v>
      </c>
      <c r="B1907" s="314" t="s">
        <v>3380</v>
      </c>
      <c r="C1907" s="322" t="s">
        <v>3381</v>
      </c>
      <c r="D1907" s="323">
        <v>1.96</v>
      </c>
      <c r="E1907" s="323">
        <v>1.96</v>
      </c>
      <c r="F1907" s="323"/>
      <c r="G1907" s="323"/>
      <c r="H1907" s="324">
        <v>25.59</v>
      </c>
      <c r="I1907" s="324">
        <v>25.59</v>
      </c>
      <c r="J1907" s="324"/>
      <c r="K1907" s="324"/>
      <c r="L1907" s="357">
        <v>13.056122448979592</v>
      </c>
      <c r="M1907" s="357">
        <v>13.05</v>
      </c>
      <c r="N1907" s="357" t="s">
        <v>135</v>
      </c>
      <c r="O1907" s="357" t="s">
        <v>135</v>
      </c>
      <c r="P1907" s="325"/>
      <c r="Q1907" s="325"/>
      <c r="R1907" s="325">
        <v>48</v>
      </c>
    </row>
    <row r="1908" spans="1:18" ht="36">
      <c r="A1908" s="321">
        <v>64.332999999999998</v>
      </c>
      <c r="B1908" s="314" t="s">
        <v>3382</v>
      </c>
      <c r="C1908" s="322" t="s">
        <v>3383</v>
      </c>
      <c r="D1908" s="323">
        <v>4.6399999999999997</v>
      </c>
      <c r="E1908" s="323">
        <v>4.6399999999999997</v>
      </c>
      <c r="F1908" s="323"/>
      <c r="G1908" s="323"/>
      <c r="H1908" s="324">
        <v>60.61</v>
      </c>
      <c r="I1908" s="324">
        <v>60.61</v>
      </c>
      <c r="J1908" s="324"/>
      <c r="K1908" s="324"/>
      <c r="L1908" s="357">
        <v>13.0625</v>
      </c>
      <c r="M1908" s="357">
        <v>13.05</v>
      </c>
      <c r="N1908" s="357" t="s">
        <v>135</v>
      </c>
      <c r="O1908" s="357" t="s">
        <v>135</v>
      </c>
      <c r="P1908" s="325"/>
      <c r="Q1908" s="325"/>
      <c r="R1908" s="325">
        <v>48</v>
      </c>
    </row>
    <row r="1909" spans="1:18" ht="36">
      <c r="A1909" s="321">
        <v>64.334000000000003</v>
      </c>
      <c r="B1909" s="314" t="s">
        <v>3384</v>
      </c>
      <c r="C1909" s="322" t="s">
        <v>3385</v>
      </c>
      <c r="D1909" s="323">
        <v>5.78</v>
      </c>
      <c r="E1909" s="323">
        <v>5.78</v>
      </c>
      <c r="F1909" s="323"/>
      <c r="G1909" s="323"/>
      <c r="H1909" s="324">
        <v>75.42</v>
      </c>
      <c r="I1909" s="324">
        <v>75.42</v>
      </c>
      <c r="J1909" s="324"/>
      <c r="K1909" s="324"/>
      <c r="L1909" s="357">
        <v>13.048442906574394</v>
      </c>
      <c r="M1909" s="357">
        <v>13.05</v>
      </c>
      <c r="N1909" s="357" t="s">
        <v>135</v>
      </c>
      <c r="O1909" s="357" t="s">
        <v>135</v>
      </c>
      <c r="P1909" s="325"/>
      <c r="Q1909" s="325"/>
      <c r="R1909" s="325">
        <v>48</v>
      </c>
    </row>
    <row r="1910" spans="1:18" ht="24">
      <c r="A1910" s="326">
        <v>64.334999999999994</v>
      </c>
      <c r="B1910" s="327" t="s">
        <v>3386</v>
      </c>
      <c r="C1910" s="328" t="s">
        <v>3387</v>
      </c>
      <c r="D1910" s="329">
        <v>5.88</v>
      </c>
      <c r="E1910" s="329">
        <v>5.88</v>
      </c>
      <c r="F1910" s="329"/>
      <c r="G1910" s="329"/>
      <c r="H1910" s="330">
        <v>76.77</v>
      </c>
      <c r="I1910" s="330">
        <v>76.77</v>
      </c>
      <c r="J1910" s="330"/>
      <c r="K1910" s="330"/>
      <c r="L1910" s="356">
        <v>13.056122448979592</v>
      </c>
      <c r="M1910" s="356">
        <v>13.05</v>
      </c>
      <c r="N1910" s="356" t="s">
        <v>135</v>
      </c>
      <c r="O1910" s="356" t="s">
        <v>135</v>
      </c>
      <c r="P1910" s="331"/>
      <c r="Q1910" s="331"/>
      <c r="R1910" s="331">
        <v>48</v>
      </c>
    </row>
    <row r="1911" spans="1:18" ht="12.75">
      <c r="A1911" s="428" t="s">
        <v>3388</v>
      </c>
      <c r="B1911" s="429"/>
      <c r="C1911" s="429"/>
      <c r="D1911" s="429"/>
      <c r="E1911" s="429"/>
      <c r="F1911" s="429"/>
      <c r="G1911" s="429"/>
      <c r="H1911" s="429"/>
      <c r="I1911" s="429"/>
      <c r="J1911" s="429"/>
      <c r="K1911" s="429"/>
      <c r="L1911" s="429"/>
      <c r="M1911" s="429"/>
      <c r="N1911" s="429"/>
      <c r="O1911" s="429"/>
      <c r="P1911" s="429"/>
      <c r="Q1911" s="429"/>
      <c r="R1911" s="429"/>
    </row>
    <row r="1912" spans="1:18" ht="24">
      <c r="A1912" s="321">
        <v>64.335999999999999</v>
      </c>
      <c r="B1912" s="314" t="s">
        <v>3389</v>
      </c>
      <c r="C1912" s="322" t="s">
        <v>3390</v>
      </c>
      <c r="D1912" s="323">
        <v>98.1</v>
      </c>
      <c r="E1912" s="323">
        <v>15.27</v>
      </c>
      <c r="F1912" s="323">
        <v>0.73</v>
      </c>
      <c r="G1912" s="323">
        <v>82.1</v>
      </c>
      <c r="H1912" s="324">
        <v>1028.6300000000001</v>
      </c>
      <c r="I1912" s="324">
        <v>199.33</v>
      </c>
      <c r="J1912" s="324">
        <v>5.56</v>
      </c>
      <c r="K1912" s="324">
        <v>823.74</v>
      </c>
      <c r="L1912" s="357">
        <v>10.485524974515801</v>
      </c>
      <c r="M1912" s="357">
        <v>13.05</v>
      </c>
      <c r="N1912" s="357">
        <v>7.6164383561643829</v>
      </c>
      <c r="O1912" s="357">
        <v>10.033373934226553</v>
      </c>
      <c r="P1912" s="325"/>
      <c r="Q1912" s="325"/>
      <c r="R1912" s="325">
        <v>49</v>
      </c>
    </row>
    <row r="1913" spans="1:18" ht="36">
      <c r="A1913" s="321">
        <v>64.337000000000003</v>
      </c>
      <c r="B1913" s="314" t="s">
        <v>3391</v>
      </c>
      <c r="C1913" s="322" t="s">
        <v>3392</v>
      </c>
      <c r="D1913" s="323">
        <v>1.1399999999999999</v>
      </c>
      <c r="E1913" s="323">
        <v>1.1399999999999999</v>
      </c>
      <c r="F1913" s="323"/>
      <c r="G1913" s="323"/>
      <c r="H1913" s="324">
        <v>14.81</v>
      </c>
      <c r="I1913" s="324">
        <v>14.81</v>
      </c>
      <c r="J1913" s="324"/>
      <c r="K1913" s="324"/>
      <c r="L1913" s="357">
        <v>12.99122807017544</v>
      </c>
      <c r="M1913" s="357">
        <v>13.05</v>
      </c>
      <c r="N1913" s="357" t="s">
        <v>135</v>
      </c>
      <c r="O1913" s="357" t="s">
        <v>135</v>
      </c>
      <c r="P1913" s="325"/>
      <c r="Q1913" s="325"/>
      <c r="R1913" s="325">
        <v>49</v>
      </c>
    </row>
    <row r="1914" spans="1:18" ht="36">
      <c r="A1914" s="321">
        <v>64.337999999999994</v>
      </c>
      <c r="B1914" s="314" t="s">
        <v>3393</v>
      </c>
      <c r="C1914" s="322" t="s">
        <v>3394</v>
      </c>
      <c r="D1914" s="323">
        <v>3.2</v>
      </c>
      <c r="E1914" s="323">
        <v>3.2</v>
      </c>
      <c r="F1914" s="323"/>
      <c r="G1914" s="323"/>
      <c r="H1914" s="324">
        <v>41.75</v>
      </c>
      <c r="I1914" s="324">
        <v>41.75</v>
      </c>
      <c r="J1914" s="324"/>
      <c r="K1914" s="324"/>
      <c r="L1914" s="357">
        <v>13.046875</v>
      </c>
      <c r="M1914" s="357">
        <v>13.05</v>
      </c>
      <c r="N1914" s="357" t="s">
        <v>135</v>
      </c>
      <c r="O1914" s="357" t="s">
        <v>135</v>
      </c>
      <c r="P1914" s="325"/>
      <c r="Q1914" s="325"/>
      <c r="R1914" s="325">
        <v>49</v>
      </c>
    </row>
    <row r="1915" spans="1:18" ht="36">
      <c r="A1915" s="321">
        <v>64.338999999999999</v>
      </c>
      <c r="B1915" s="314" t="s">
        <v>3395</v>
      </c>
      <c r="C1915" s="322" t="s">
        <v>3396</v>
      </c>
      <c r="D1915" s="323">
        <v>7.74</v>
      </c>
      <c r="E1915" s="323">
        <v>7.74</v>
      </c>
      <c r="F1915" s="323"/>
      <c r="G1915" s="323"/>
      <c r="H1915" s="324">
        <v>101.01</v>
      </c>
      <c r="I1915" s="324">
        <v>101.01</v>
      </c>
      <c r="J1915" s="324"/>
      <c r="K1915" s="324"/>
      <c r="L1915" s="357">
        <v>13.050387596899226</v>
      </c>
      <c r="M1915" s="357">
        <v>13.05</v>
      </c>
      <c r="N1915" s="357" t="s">
        <v>135</v>
      </c>
      <c r="O1915" s="357" t="s">
        <v>135</v>
      </c>
      <c r="P1915" s="325"/>
      <c r="Q1915" s="325"/>
      <c r="R1915" s="325">
        <v>49</v>
      </c>
    </row>
    <row r="1916" spans="1:18" ht="36">
      <c r="A1916" s="321">
        <v>64.34</v>
      </c>
      <c r="B1916" s="314" t="s">
        <v>3397</v>
      </c>
      <c r="C1916" s="322" t="s">
        <v>3398</v>
      </c>
      <c r="D1916" s="323">
        <v>9.6999999999999993</v>
      </c>
      <c r="E1916" s="323">
        <v>9.6999999999999993</v>
      </c>
      <c r="F1916" s="323"/>
      <c r="G1916" s="323"/>
      <c r="H1916" s="324">
        <v>126.6</v>
      </c>
      <c r="I1916" s="324">
        <v>126.6</v>
      </c>
      <c r="J1916" s="324"/>
      <c r="K1916" s="324"/>
      <c r="L1916" s="357">
        <v>13.051546391752577</v>
      </c>
      <c r="M1916" s="357">
        <v>13.05</v>
      </c>
      <c r="N1916" s="357" t="s">
        <v>135</v>
      </c>
      <c r="O1916" s="357" t="s">
        <v>135</v>
      </c>
      <c r="P1916" s="325"/>
      <c r="Q1916" s="325"/>
      <c r="R1916" s="325">
        <v>49</v>
      </c>
    </row>
    <row r="1917" spans="1:18" ht="24">
      <c r="A1917" s="326">
        <v>64.340999999999994</v>
      </c>
      <c r="B1917" s="327" t="s">
        <v>3399</v>
      </c>
      <c r="C1917" s="328" t="s">
        <v>3400</v>
      </c>
      <c r="D1917" s="329">
        <v>10.28</v>
      </c>
      <c r="E1917" s="329">
        <v>9.91</v>
      </c>
      <c r="F1917" s="329">
        <v>0.37</v>
      </c>
      <c r="G1917" s="329"/>
      <c r="H1917" s="330">
        <v>132.07</v>
      </c>
      <c r="I1917" s="330">
        <v>129.29</v>
      </c>
      <c r="J1917" s="330">
        <v>2.78</v>
      </c>
      <c r="K1917" s="330"/>
      <c r="L1917" s="356">
        <v>12.847276264591439</v>
      </c>
      <c r="M1917" s="356">
        <v>13.05</v>
      </c>
      <c r="N1917" s="356">
        <v>7.5135135135135132</v>
      </c>
      <c r="O1917" s="356" t="s">
        <v>135</v>
      </c>
      <c r="P1917" s="331"/>
      <c r="Q1917" s="331"/>
      <c r="R1917" s="331">
        <v>49</v>
      </c>
    </row>
    <row r="1918" spans="1:18" ht="12.75">
      <c r="A1918" s="428" t="s">
        <v>3401</v>
      </c>
      <c r="B1918" s="429"/>
      <c r="C1918" s="429"/>
      <c r="D1918" s="429"/>
      <c r="E1918" s="429"/>
      <c r="F1918" s="429"/>
      <c r="G1918" s="429"/>
      <c r="H1918" s="429"/>
      <c r="I1918" s="429"/>
      <c r="J1918" s="429"/>
      <c r="K1918" s="429"/>
      <c r="L1918" s="429"/>
      <c r="M1918" s="429"/>
      <c r="N1918" s="429"/>
      <c r="O1918" s="429"/>
      <c r="P1918" s="429"/>
      <c r="Q1918" s="429"/>
      <c r="R1918" s="429"/>
    </row>
    <row r="1919" spans="1:18" ht="24">
      <c r="A1919" s="321">
        <v>64.341999999999999</v>
      </c>
      <c r="B1919" s="314" t="s">
        <v>3402</v>
      </c>
      <c r="C1919" s="322" t="s">
        <v>3403</v>
      </c>
      <c r="D1919" s="323">
        <v>42.92</v>
      </c>
      <c r="E1919" s="323">
        <v>13.76</v>
      </c>
      <c r="F1919" s="323"/>
      <c r="G1919" s="323">
        <v>29.16</v>
      </c>
      <c r="H1919" s="324">
        <v>437.98</v>
      </c>
      <c r="I1919" s="324">
        <v>179.52</v>
      </c>
      <c r="J1919" s="324"/>
      <c r="K1919" s="324">
        <v>258.45999999999998</v>
      </c>
      <c r="L1919" s="357">
        <v>10.204566635601118</v>
      </c>
      <c r="M1919" s="357">
        <v>13.05</v>
      </c>
      <c r="N1919" s="357" t="s">
        <v>135</v>
      </c>
      <c r="O1919" s="357">
        <v>8.8635116598079549</v>
      </c>
      <c r="P1919" s="325"/>
      <c r="Q1919" s="325"/>
      <c r="R1919" s="325">
        <v>50</v>
      </c>
    </row>
    <row r="1920" spans="1:18" ht="24">
      <c r="A1920" s="321">
        <v>64.343000000000004</v>
      </c>
      <c r="B1920" s="314" t="s">
        <v>3404</v>
      </c>
      <c r="C1920" s="322" t="s">
        <v>3405</v>
      </c>
      <c r="D1920" s="323">
        <v>26.67</v>
      </c>
      <c r="E1920" s="323">
        <v>11.11</v>
      </c>
      <c r="F1920" s="323"/>
      <c r="G1920" s="323">
        <v>15.56</v>
      </c>
      <c r="H1920" s="324">
        <v>282.89</v>
      </c>
      <c r="I1920" s="324">
        <v>144.94999999999999</v>
      </c>
      <c r="J1920" s="324"/>
      <c r="K1920" s="324">
        <v>137.94</v>
      </c>
      <c r="L1920" s="357">
        <v>10.607049118860141</v>
      </c>
      <c r="M1920" s="357">
        <v>13.05</v>
      </c>
      <c r="N1920" s="357" t="s">
        <v>135</v>
      </c>
      <c r="O1920" s="357">
        <v>8.8650385604113104</v>
      </c>
      <c r="P1920" s="325"/>
      <c r="Q1920" s="325"/>
      <c r="R1920" s="325">
        <v>50</v>
      </c>
    </row>
    <row r="1921" spans="1:18" ht="24">
      <c r="A1921" s="321">
        <v>64.343999999999994</v>
      </c>
      <c r="B1921" s="314" t="s">
        <v>3406</v>
      </c>
      <c r="C1921" s="322" t="s">
        <v>3407</v>
      </c>
      <c r="D1921" s="323">
        <v>0.62</v>
      </c>
      <c r="E1921" s="323">
        <v>0.62</v>
      </c>
      <c r="F1921" s="323"/>
      <c r="G1921" s="323"/>
      <c r="H1921" s="324">
        <v>8.08</v>
      </c>
      <c r="I1921" s="324">
        <v>8.08</v>
      </c>
      <c r="J1921" s="324"/>
      <c r="K1921" s="324"/>
      <c r="L1921" s="357">
        <v>13.03225806451613</v>
      </c>
      <c r="M1921" s="357">
        <v>13.05</v>
      </c>
      <c r="N1921" s="357" t="s">
        <v>135</v>
      </c>
      <c r="O1921" s="357" t="s">
        <v>135</v>
      </c>
      <c r="P1921" s="325"/>
      <c r="Q1921" s="325"/>
      <c r="R1921" s="325">
        <v>50</v>
      </c>
    </row>
    <row r="1922" spans="1:18" ht="24">
      <c r="A1922" s="321">
        <v>64.344999999999999</v>
      </c>
      <c r="B1922" s="314" t="s">
        <v>3408</v>
      </c>
      <c r="C1922" s="322" t="s">
        <v>3409</v>
      </c>
      <c r="D1922" s="323">
        <v>1.86</v>
      </c>
      <c r="E1922" s="323">
        <v>1.86</v>
      </c>
      <c r="F1922" s="323"/>
      <c r="G1922" s="323"/>
      <c r="H1922" s="324">
        <v>24.24</v>
      </c>
      <c r="I1922" s="324">
        <v>24.24</v>
      </c>
      <c r="J1922" s="324"/>
      <c r="K1922" s="324"/>
      <c r="L1922" s="357">
        <v>13.032258064516128</v>
      </c>
      <c r="M1922" s="357">
        <v>13.05</v>
      </c>
      <c r="N1922" s="357" t="s">
        <v>135</v>
      </c>
      <c r="O1922" s="357" t="s">
        <v>135</v>
      </c>
      <c r="P1922" s="325"/>
      <c r="Q1922" s="325"/>
      <c r="R1922" s="325">
        <v>50</v>
      </c>
    </row>
    <row r="1923" spans="1:18" ht="36">
      <c r="A1923" s="321">
        <v>64.346000000000004</v>
      </c>
      <c r="B1923" s="314" t="s">
        <v>3410</v>
      </c>
      <c r="C1923" s="322" t="s">
        <v>3411</v>
      </c>
      <c r="D1923" s="323">
        <v>4.4400000000000004</v>
      </c>
      <c r="E1923" s="323">
        <v>4.4400000000000004</v>
      </c>
      <c r="F1923" s="323"/>
      <c r="G1923" s="323"/>
      <c r="H1923" s="324">
        <v>57.91</v>
      </c>
      <c r="I1923" s="324">
        <v>57.91</v>
      </c>
      <c r="J1923" s="324"/>
      <c r="K1923" s="324"/>
      <c r="L1923" s="357">
        <v>13.04279279279279</v>
      </c>
      <c r="M1923" s="357">
        <v>13.05</v>
      </c>
      <c r="N1923" s="357" t="s">
        <v>135</v>
      </c>
      <c r="O1923" s="357" t="s">
        <v>135</v>
      </c>
      <c r="P1923" s="325"/>
      <c r="Q1923" s="325"/>
      <c r="R1923" s="325">
        <v>50</v>
      </c>
    </row>
    <row r="1924" spans="1:18" ht="36">
      <c r="A1924" s="321">
        <v>64.346999999999994</v>
      </c>
      <c r="B1924" s="314" t="s">
        <v>3412</v>
      </c>
      <c r="C1924" s="322" t="s">
        <v>3413</v>
      </c>
      <c r="D1924" s="323">
        <v>5.78</v>
      </c>
      <c r="E1924" s="323">
        <v>5.78</v>
      </c>
      <c r="F1924" s="323"/>
      <c r="G1924" s="323"/>
      <c r="H1924" s="324">
        <v>75.42</v>
      </c>
      <c r="I1924" s="324">
        <v>75.42</v>
      </c>
      <c r="J1924" s="324"/>
      <c r="K1924" s="324"/>
      <c r="L1924" s="357">
        <v>13.048442906574394</v>
      </c>
      <c r="M1924" s="357">
        <v>13.05</v>
      </c>
      <c r="N1924" s="357" t="s">
        <v>135</v>
      </c>
      <c r="O1924" s="357" t="s">
        <v>135</v>
      </c>
      <c r="P1924" s="325"/>
      <c r="Q1924" s="325"/>
      <c r="R1924" s="325">
        <v>50</v>
      </c>
    </row>
    <row r="1925" spans="1:18" ht="24">
      <c r="A1925" s="326">
        <v>64.347999999999999</v>
      </c>
      <c r="B1925" s="327" t="s">
        <v>3414</v>
      </c>
      <c r="C1925" s="328" t="s">
        <v>3415</v>
      </c>
      <c r="D1925" s="329">
        <v>8.4600000000000009</v>
      </c>
      <c r="E1925" s="329">
        <v>8.4600000000000009</v>
      </c>
      <c r="F1925" s="329"/>
      <c r="G1925" s="329"/>
      <c r="H1925" s="330">
        <v>110.44</v>
      </c>
      <c r="I1925" s="330">
        <v>110.44</v>
      </c>
      <c r="J1925" s="330"/>
      <c r="K1925" s="330"/>
      <c r="L1925" s="356">
        <v>13.054373522458627</v>
      </c>
      <c r="M1925" s="356">
        <v>13.05</v>
      </c>
      <c r="N1925" s="356" t="s">
        <v>135</v>
      </c>
      <c r="O1925" s="356" t="s">
        <v>135</v>
      </c>
      <c r="P1925" s="331"/>
      <c r="Q1925" s="331"/>
      <c r="R1925" s="331">
        <v>50</v>
      </c>
    </row>
    <row r="1926" spans="1:18" ht="12.75">
      <c r="A1926" s="428" t="s">
        <v>3416</v>
      </c>
      <c r="B1926" s="429"/>
      <c r="C1926" s="429"/>
      <c r="D1926" s="429"/>
      <c r="E1926" s="429"/>
      <c r="F1926" s="429"/>
      <c r="G1926" s="429"/>
      <c r="H1926" s="429"/>
      <c r="I1926" s="429"/>
      <c r="J1926" s="429"/>
      <c r="K1926" s="429"/>
      <c r="L1926" s="429"/>
      <c r="M1926" s="429"/>
      <c r="N1926" s="429"/>
      <c r="O1926" s="429"/>
      <c r="P1926" s="429"/>
      <c r="Q1926" s="429"/>
      <c r="R1926" s="429"/>
    </row>
    <row r="1927" spans="1:18" ht="24">
      <c r="A1927" s="321">
        <v>64.349000000000004</v>
      </c>
      <c r="B1927" s="314" t="s">
        <v>3417</v>
      </c>
      <c r="C1927" s="322" t="s">
        <v>3418</v>
      </c>
      <c r="D1927" s="323">
        <v>56.43</v>
      </c>
      <c r="E1927" s="323">
        <v>17.53</v>
      </c>
      <c r="F1927" s="323"/>
      <c r="G1927" s="323">
        <v>38.9</v>
      </c>
      <c r="H1927" s="324">
        <v>574.4</v>
      </c>
      <c r="I1927" s="324">
        <v>228.73</v>
      </c>
      <c r="J1927" s="324"/>
      <c r="K1927" s="324">
        <v>345.67</v>
      </c>
      <c r="L1927" s="357">
        <v>10.178982810561758</v>
      </c>
      <c r="M1927" s="357">
        <v>13.05</v>
      </c>
      <c r="N1927" s="357" t="s">
        <v>135</v>
      </c>
      <c r="O1927" s="357">
        <v>8.8861182519280213</v>
      </c>
      <c r="P1927" s="325"/>
      <c r="Q1927" s="325"/>
      <c r="R1927" s="325">
        <v>51</v>
      </c>
    </row>
    <row r="1928" spans="1:18" ht="24">
      <c r="A1928" s="321">
        <v>64.349999999999994</v>
      </c>
      <c r="B1928" s="314" t="s">
        <v>3419</v>
      </c>
      <c r="C1928" s="322" t="s">
        <v>3420</v>
      </c>
      <c r="D1928" s="323">
        <v>34.96</v>
      </c>
      <c r="E1928" s="323">
        <v>11.62</v>
      </c>
      <c r="F1928" s="323"/>
      <c r="G1928" s="323">
        <v>23.34</v>
      </c>
      <c r="H1928" s="324">
        <v>358.97</v>
      </c>
      <c r="I1928" s="324">
        <v>151.6</v>
      </c>
      <c r="J1928" s="324"/>
      <c r="K1928" s="324">
        <v>207.37</v>
      </c>
      <c r="L1928" s="357">
        <v>10.268020594965675</v>
      </c>
      <c r="M1928" s="357">
        <v>13.05</v>
      </c>
      <c r="N1928" s="357" t="s">
        <v>135</v>
      </c>
      <c r="O1928" s="357">
        <v>8.884747215081406</v>
      </c>
      <c r="P1928" s="325"/>
      <c r="Q1928" s="325"/>
      <c r="R1928" s="325">
        <v>51</v>
      </c>
    </row>
    <row r="1929" spans="1:18" ht="24">
      <c r="A1929" s="321">
        <v>64.350999999999999</v>
      </c>
      <c r="B1929" s="314" t="s">
        <v>3421</v>
      </c>
      <c r="C1929" s="322" t="s">
        <v>3422</v>
      </c>
      <c r="D1929" s="323">
        <v>1.1399999999999999</v>
      </c>
      <c r="E1929" s="323">
        <v>1.1399999999999999</v>
      </c>
      <c r="F1929" s="323"/>
      <c r="G1929" s="323"/>
      <c r="H1929" s="324">
        <v>14.81</v>
      </c>
      <c r="I1929" s="324">
        <v>14.81</v>
      </c>
      <c r="J1929" s="324"/>
      <c r="K1929" s="324"/>
      <c r="L1929" s="357">
        <v>12.99122807017544</v>
      </c>
      <c r="M1929" s="357">
        <v>13.05</v>
      </c>
      <c r="N1929" s="357" t="s">
        <v>135</v>
      </c>
      <c r="O1929" s="357" t="s">
        <v>135</v>
      </c>
      <c r="P1929" s="325"/>
      <c r="Q1929" s="325"/>
      <c r="R1929" s="325">
        <v>51</v>
      </c>
    </row>
    <row r="1930" spans="1:18" ht="24">
      <c r="A1930" s="321">
        <v>64.352000000000004</v>
      </c>
      <c r="B1930" s="314" t="s">
        <v>3423</v>
      </c>
      <c r="C1930" s="322" t="s">
        <v>3424</v>
      </c>
      <c r="D1930" s="323">
        <v>2.79</v>
      </c>
      <c r="E1930" s="323">
        <v>2.79</v>
      </c>
      <c r="F1930" s="323"/>
      <c r="G1930" s="323"/>
      <c r="H1930" s="324">
        <v>36.36</v>
      </c>
      <c r="I1930" s="324">
        <v>36.36</v>
      </c>
      <c r="J1930" s="324"/>
      <c r="K1930" s="324"/>
      <c r="L1930" s="357">
        <v>13.032258064516128</v>
      </c>
      <c r="M1930" s="357">
        <v>13.05</v>
      </c>
      <c r="N1930" s="357" t="s">
        <v>135</v>
      </c>
      <c r="O1930" s="357" t="s">
        <v>135</v>
      </c>
      <c r="P1930" s="325"/>
      <c r="Q1930" s="325"/>
      <c r="R1930" s="325">
        <v>51</v>
      </c>
    </row>
    <row r="1931" spans="1:18" ht="36">
      <c r="A1931" s="321">
        <v>64.352999999999994</v>
      </c>
      <c r="B1931" s="314" t="s">
        <v>3425</v>
      </c>
      <c r="C1931" s="322" t="s">
        <v>3426</v>
      </c>
      <c r="D1931" s="323">
        <v>6.71</v>
      </c>
      <c r="E1931" s="323">
        <v>6.71</v>
      </c>
      <c r="F1931" s="323"/>
      <c r="G1931" s="323"/>
      <c r="H1931" s="324">
        <v>87.54</v>
      </c>
      <c r="I1931" s="324">
        <v>87.54</v>
      </c>
      <c r="J1931" s="324"/>
      <c r="K1931" s="324"/>
      <c r="L1931" s="357">
        <v>13.046199701937407</v>
      </c>
      <c r="M1931" s="357">
        <v>13.05</v>
      </c>
      <c r="N1931" s="357" t="s">
        <v>135</v>
      </c>
      <c r="O1931" s="357" t="s">
        <v>135</v>
      </c>
      <c r="P1931" s="325"/>
      <c r="Q1931" s="325"/>
      <c r="R1931" s="325">
        <v>51</v>
      </c>
    </row>
    <row r="1932" spans="1:18" ht="36">
      <c r="A1932" s="321">
        <v>64.353999999999999</v>
      </c>
      <c r="B1932" s="314" t="s">
        <v>3427</v>
      </c>
      <c r="C1932" s="322" t="s">
        <v>3428</v>
      </c>
      <c r="D1932" s="323">
        <v>8.4600000000000009</v>
      </c>
      <c r="E1932" s="323">
        <v>8.4600000000000009</v>
      </c>
      <c r="F1932" s="323"/>
      <c r="G1932" s="323"/>
      <c r="H1932" s="324">
        <v>110.44</v>
      </c>
      <c r="I1932" s="324">
        <v>110.44</v>
      </c>
      <c r="J1932" s="324"/>
      <c r="K1932" s="324"/>
      <c r="L1932" s="357">
        <v>13.054373522458627</v>
      </c>
      <c r="M1932" s="357">
        <v>13.05</v>
      </c>
      <c r="N1932" s="357" t="s">
        <v>135</v>
      </c>
      <c r="O1932" s="357" t="s">
        <v>135</v>
      </c>
      <c r="P1932" s="325"/>
      <c r="Q1932" s="325"/>
      <c r="R1932" s="325">
        <v>51</v>
      </c>
    </row>
    <row r="1933" spans="1:18" ht="24">
      <c r="A1933" s="326">
        <v>64.355000000000004</v>
      </c>
      <c r="B1933" s="327" t="s">
        <v>3429</v>
      </c>
      <c r="C1933" s="328" t="s">
        <v>3430</v>
      </c>
      <c r="D1933" s="329">
        <v>11.97</v>
      </c>
      <c r="E1933" s="329">
        <v>11.97</v>
      </c>
      <c r="F1933" s="329"/>
      <c r="G1933" s="329"/>
      <c r="H1933" s="330">
        <v>156.22999999999999</v>
      </c>
      <c r="I1933" s="330">
        <v>156.22999999999999</v>
      </c>
      <c r="J1933" s="330"/>
      <c r="K1933" s="330"/>
      <c r="L1933" s="356">
        <v>13.051796157059313</v>
      </c>
      <c r="M1933" s="356">
        <v>13.05</v>
      </c>
      <c r="N1933" s="356" t="s">
        <v>135</v>
      </c>
      <c r="O1933" s="356" t="s">
        <v>135</v>
      </c>
      <c r="P1933" s="331"/>
      <c r="Q1933" s="331"/>
      <c r="R1933" s="331">
        <v>51</v>
      </c>
    </row>
    <row r="1934" spans="1:18" ht="12.75">
      <c r="A1934" s="428" t="s">
        <v>3431</v>
      </c>
      <c r="B1934" s="429"/>
      <c r="C1934" s="429"/>
      <c r="D1934" s="429"/>
      <c r="E1934" s="429"/>
      <c r="F1934" s="429"/>
      <c r="G1934" s="429"/>
      <c r="H1934" s="429"/>
      <c r="I1934" s="429"/>
      <c r="J1934" s="429"/>
      <c r="K1934" s="429"/>
      <c r="L1934" s="429"/>
      <c r="M1934" s="429"/>
      <c r="N1934" s="429"/>
      <c r="O1934" s="429"/>
      <c r="P1934" s="429"/>
      <c r="Q1934" s="429"/>
      <c r="R1934" s="429"/>
    </row>
    <row r="1935" spans="1:18" ht="24">
      <c r="A1935" s="321">
        <v>64.355999999999995</v>
      </c>
      <c r="B1935" s="314" t="s">
        <v>3432</v>
      </c>
      <c r="C1935" s="322" t="s">
        <v>3433</v>
      </c>
      <c r="D1935" s="323">
        <v>115.7</v>
      </c>
      <c r="E1935" s="323">
        <v>13.58</v>
      </c>
      <c r="F1935" s="323">
        <v>1.1000000000000001</v>
      </c>
      <c r="G1935" s="323">
        <v>101.02</v>
      </c>
      <c r="H1935" s="324">
        <v>767.25</v>
      </c>
      <c r="I1935" s="324">
        <v>177.21</v>
      </c>
      <c r="J1935" s="324">
        <v>8.34</v>
      </c>
      <c r="K1935" s="324">
        <v>581.70000000000005</v>
      </c>
      <c r="L1935" s="357">
        <v>6.6313742437337941</v>
      </c>
      <c r="M1935" s="357">
        <v>13.05</v>
      </c>
      <c r="N1935" s="357">
        <v>7.5818181818181811</v>
      </c>
      <c r="O1935" s="357">
        <v>5.7582656899623847</v>
      </c>
      <c r="P1935" s="325"/>
      <c r="Q1935" s="325"/>
      <c r="R1935" s="325">
        <v>52</v>
      </c>
    </row>
    <row r="1936" spans="1:18" ht="24">
      <c r="A1936" s="321">
        <v>64.356999999999999</v>
      </c>
      <c r="B1936" s="314" t="s">
        <v>3434</v>
      </c>
      <c r="C1936" s="322" t="s">
        <v>3435</v>
      </c>
      <c r="D1936" s="323">
        <v>78.09</v>
      </c>
      <c r="E1936" s="323">
        <v>11.41</v>
      </c>
      <c r="F1936" s="323">
        <v>0.73</v>
      </c>
      <c r="G1936" s="323">
        <v>65.95</v>
      </c>
      <c r="H1936" s="324">
        <v>500.52</v>
      </c>
      <c r="I1936" s="324">
        <v>148.96</v>
      </c>
      <c r="J1936" s="324">
        <v>5.56</v>
      </c>
      <c r="K1936" s="324">
        <v>346</v>
      </c>
      <c r="L1936" s="357">
        <v>6.4095274683058001</v>
      </c>
      <c r="M1936" s="357">
        <v>13.05</v>
      </c>
      <c r="N1936" s="357">
        <v>7.6164383561643829</v>
      </c>
      <c r="O1936" s="357">
        <v>5.2463987869598174</v>
      </c>
      <c r="P1936" s="325"/>
      <c r="Q1936" s="325"/>
      <c r="R1936" s="325">
        <v>52</v>
      </c>
    </row>
    <row r="1937" spans="1:18" ht="24">
      <c r="A1937" s="321">
        <v>64.358000000000004</v>
      </c>
      <c r="B1937" s="314" t="s">
        <v>3436</v>
      </c>
      <c r="C1937" s="322" t="s">
        <v>3437</v>
      </c>
      <c r="D1937" s="323">
        <v>0.45</v>
      </c>
      <c r="E1937" s="323">
        <v>0.45</v>
      </c>
      <c r="F1937" s="323"/>
      <c r="G1937" s="323"/>
      <c r="H1937" s="324">
        <v>5.91</v>
      </c>
      <c r="I1937" s="324">
        <v>5.91</v>
      </c>
      <c r="J1937" s="324"/>
      <c r="K1937" s="324"/>
      <c r="L1937" s="357">
        <v>13.133333333333333</v>
      </c>
      <c r="M1937" s="357">
        <v>13.05</v>
      </c>
      <c r="N1937" s="357" t="s">
        <v>135</v>
      </c>
      <c r="O1937" s="357" t="s">
        <v>135</v>
      </c>
      <c r="P1937" s="325"/>
      <c r="Q1937" s="325"/>
      <c r="R1937" s="325">
        <v>52</v>
      </c>
    </row>
    <row r="1938" spans="1:18" ht="24">
      <c r="A1938" s="321">
        <v>64.358999999999995</v>
      </c>
      <c r="B1938" s="314" t="s">
        <v>3438</v>
      </c>
      <c r="C1938" s="322" t="s">
        <v>3439</v>
      </c>
      <c r="D1938" s="323">
        <v>2.2599999999999998</v>
      </c>
      <c r="E1938" s="323">
        <v>2.2599999999999998</v>
      </c>
      <c r="F1938" s="323"/>
      <c r="G1938" s="323"/>
      <c r="H1938" s="324">
        <v>29.53</v>
      </c>
      <c r="I1938" s="324">
        <v>29.53</v>
      </c>
      <c r="J1938" s="324"/>
      <c r="K1938" s="324"/>
      <c r="L1938" s="357">
        <v>13.06637168141593</v>
      </c>
      <c r="M1938" s="357">
        <v>13.05</v>
      </c>
      <c r="N1938" s="357" t="s">
        <v>135</v>
      </c>
      <c r="O1938" s="357" t="s">
        <v>135</v>
      </c>
      <c r="P1938" s="325"/>
      <c r="Q1938" s="325"/>
      <c r="R1938" s="325">
        <v>52</v>
      </c>
    </row>
    <row r="1939" spans="1:18" ht="36">
      <c r="A1939" s="321">
        <v>64.36</v>
      </c>
      <c r="B1939" s="314" t="s">
        <v>3440</v>
      </c>
      <c r="C1939" s="322" t="s">
        <v>3441</v>
      </c>
      <c r="D1939" s="323">
        <v>5.0199999999999996</v>
      </c>
      <c r="E1939" s="323">
        <v>5.0199999999999996</v>
      </c>
      <c r="F1939" s="323"/>
      <c r="G1939" s="323"/>
      <c r="H1939" s="324">
        <v>65.489999999999995</v>
      </c>
      <c r="I1939" s="324">
        <v>65.489999999999995</v>
      </c>
      <c r="J1939" s="324"/>
      <c r="K1939" s="324"/>
      <c r="L1939" s="357">
        <v>13.045816733067729</v>
      </c>
      <c r="M1939" s="357">
        <v>13.05</v>
      </c>
      <c r="N1939" s="357" t="s">
        <v>135</v>
      </c>
      <c r="O1939" s="357" t="s">
        <v>135</v>
      </c>
      <c r="P1939" s="325"/>
      <c r="Q1939" s="325"/>
      <c r="R1939" s="325">
        <v>52</v>
      </c>
    </row>
    <row r="1940" spans="1:18" ht="36">
      <c r="A1940" s="321">
        <v>64.361000000000004</v>
      </c>
      <c r="B1940" s="314" t="s">
        <v>3442</v>
      </c>
      <c r="C1940" s="322" t="s">
        <v>3443</v>
      </c>
      <c r="D1940" s="323">
        <v>6.69</v>
      </c>
      <c r="E1940" s="323">
        <v>6.69</v>
      </c>
      <c r="F1940" s="323"/>
      <c r="G1940" s="323"/>
      <c r="H1940" s="324">
        <v>87.32</v>
      </c>
      <c r="I1940" s="324">
        <v>87.32</v>
      </c>
      <c r="J1940" s="324"/>
      <c r="K1940" s="324"/>
      <c r="L1940" s="357">
        <v>13.052316890881912</v>
      </c>
      <c r="M1940" s="357">
        <v>13.05</v>
      </c>
      <c r="N1940" s="357" t="s">
        <v>135</v>
      </c>
      <c r="O1940" s="357" t="s">
        <v>135</v>
      </c>
      <c r="P1940" s="325"/>
      <c r="Q1940" s="325"/>
      <c r="R1940" s="325">
        <v>52</v>
      </c>
    </row>
    <row r="1941" spans="1:18" ht="24">
      <c r="A1941" s="326">
        <v>64.361999999999995</v>
      </c>
      <c r="B1941" s="327" t="s">
        <v>3444</v>
      </c>
      <c r="C1941" s="328" t="s">
        <v>3445</v>
      </c>
      <c r="D1941" s="329">
        <v>8.41</v>
      </c>
      <c r="E1941" s="329">
        <v>7.68</v>
      </c>
      <c r="F1941" s="329">
        <v>0.73</v>
      </c>
      <c r="G1941" s="329"/>
      <c r="H1941" s="330">
        <v>105.72</v>
      </c>
      <c r="I1941" s="330">
        <v>100.16</v>
      </c>
      <c r="J1941" s="330">
        <v>5.56</v>
      </c>
      <c r="K1941" s="330"/>
      <c r="L1941" s="356">
        <v>12.570749108204518</v>
      </c>
      <c r="M1941" s="356">
        <v>13.05</v>
      </c>
      <c r="N1941" s="356">
        <v>7.6164383561643829</v>
      </c>
      <c r="O1941" s="356" t="s">
        <v>135</v>
      </c>
      <c r="P1941" s="331"/>
      <c r="Q1941" s="331"/>
      <c r="R1941" s="331">
        <v>52</v>
      </c>
    </row>
    <row r="1942" spans="1:18" ht="12.75">
      <c r="A1942" s="428" t="s">
        <v>3446</v>
      </c>
      <c r="B1942" s="429"/>
      <c r="C1942" s="429"/>
      <c r="D1942" s="429"/>
      <c r="E1942" s="429"/>
      <c r="F1942" s="429"/>
      <c r="G1942" s="429"/>
      <c r="H1942" s="429"/>
      <c r="I1942" s="429"/>
      <c r="J1942" s="429"/>
      <c r="K1942" s="429"/>
      <c r="L1942" s="429"/>
      <c r="M1942" s="429"/>
      <c r="N1942" s="429"/>
      <c r="O1942" s="429"/>
      <c r="P1942" s="429"/>
      <c r="Q1942" s="429"/>
      <c r="R1942" s="429"/>
    </row>
    <row r="1943" spans="1:18" ht="24">
      <c r="A1943" s="321">
        <v>64.363</v>
      </c>
      <c r="B1943" s="314" t="s">
        <v>3447</v>
      </c>
      <c r="C1943" s="322" t="s">
        <v>3448</v>
      </c>
      <c r="D1943" s="323">
        <v>119.09</v>
      </c>
      <c r="E1943" s="323">
        <v>16.239999999999998</v>
      </c>
      <c r="F1943" s="323">
        <v>1.83</v>
      </c>
      <c r="G1943" s="323">
        <v>101.02</v>
      </c>
      <c r="H1943" s="324">
        <v>809.91</v>
      </c>
      <c r="I1943" s="324">
        <v>211.88</v>
      </c>
      <c r="J1943" s="324">
        <v>13.9</v>
      </c>
      <c r="K1943" s="324">
        <v>584.13</v>
      </c>
      <c r="L1943" s="357">
        <v>6.8008229070450916</v>
      </c>
      <c r="M1943" s="357">
        <v>13.05</v>
      </c>
      <c r="N1943" s="357">
        <v>7.5956284153005464</v>
      </c>
      <c r="O1943" s="357">
        <v>5.7823203326074051</v>
      </c>
      <c r="P1943" s="325"/>
      <c r="Q1943" s="325"/>
      <c r="R1943" s="325">
        <v>53</v>
      </c>
    </row>
    <row r="1944" spans="1:18" ht="24">
      <c r="A1944" s="321">
        <v>64.364000000000004</v>
      </c>
      <c r="B1944" s="314" t="s">
        <v>3449</v>
      </c>
      <c r="C1944" s="322" t="s">
        <v>3450</v>
      </c>
      <c r="D1944" s="323">
        <v>79.94</v>
      </c>
      <c r="E1944" s="323">
        <v>12.89</v>
      </c>
      <c r="F1944" s="323">
        <v>1.1000000000000001</v>
      </c>
      <c r="G1944" s="323">
        <v>65.95</v>
      </c>
      <c r="H1944" s="324">
        <v>524.79</v>
      </c>
      <c r="I1944" s="324">
        <v>168.22</v>
      </c>
      <c r="J1944" s="324">
        <v>8.34</v>
      </c>
      <c r="K1944" s="324">
        <v>348.23</v>
      </c>
      <c r="L1944" s="357">
        <v>6.5647985989492117</v>
      </c>
      <c r="M1944" s="357">
        <v>13.05</v>
      </c>
      <c r="N1944" s="357">
        <v>7.5818181818181811</v>
      </c>
      <c r="O1944" s="357">
        <v>5.280212282031842</v>
      </c>
      <c r="P1944" s="325"/>
      <c r="Q1944" s="325"/>
      <c r="R1944" s="325">
        <v>53</v>
      </c>
    </row>
    <row r="1945" spans="1:18" ht="24">
      <c r="A1945" s="321">
        <v>64.364999999999995</v>
      </c>
      <c r="B1945" s="314" t="s">
        <v>3451</v>
      </c>
      <c r="C1945" s="322" t="s">
        <v>3452</v>
      </c>
      <c r="D1945" s="323">
        <v>0.92</v>
      </c>
      <c r="E1945" s="323">
        <v>0.92</v>
      </c>
      <c r="F1945" s="323"/>
      <c r="G1945" s="323"/>
      <c r="H1945" s="324">
        <v>11.94</v>
      </c>
      <c r="I1945" s="324">
        <v>11.94</v>
      </c>
      <c r="J1945" s="324"/>
      <c r="K1945" s="324"/>
      <c r="L1945" s="357">
        <v>12.978260869565217</v>
      </c>
      <c r="M1945" s="357">
        <v>13.05</v>
      </c>
      <c r="N1945" s="357" t="s">
        <v>135</v>
      </c>
      <c r="O1945" s="357" t="s">
        <v>135</v>
      </c>
      <c r="P1945" s="325"/>
      <c r="Q1945" s="325"/>
      <c r="R1945" s="325">
        <v>53</v>
      </c>
    </row>
    <row r="1946" spans="1:18" ht="24">
      <c r="A1946" s="321">
        <v>64.366</v>
      </c>
      <c r="B1946" s="314" t="s">
        <v>3453</v>
      </c>
      <c r="C1946" s="322" t="s">
        <v>3454</v>
      </c>
      <c r="D1946" s="323">
        <v>3.35</v>
      </c>
      <c r="E1946" s="323">
        <v>3.35</v>
      </c>
      <c r="F1946" s="323"/>
      <c r="G1946" s="323"/>
      <c r="H1946" s="324">
        <v>43.66</v>
      </c>
      <c r="I1946" s="324">
        <v>43.66</v>
      </c>
      <c r="J1946" s="324"/>
      <c r="K1946" s="324"/>
      <c r="L1946" s="357">
        <v>13.032835820895521</v>
      </c>
      <c r="M1946" s="357">
        <v>13.05</v>
      </c>
      <c r="N1946" s="357" t="s">
        <v>135</v>
      </c>
      <c r="O1946" s="357" t="s">
        <v>135</v>
      </c>
      <c r="P1946" s="325"/>
      <c r="Q1946" s="325"/>
      <c r="R1946" s="325">
        <v>53</v>
      </c>
    </row>
    <row r="1947" spans="1:18" ht="36">
      <c r="A1947" s="321">
        <v>64.367000000000004</v>
      </c>
      <c r="B1947" s="314" t="s">
        <v>3455</v>
      </c>
      <c r="C1947" s="322" t="s">
        <v>3456</v>
      </c>
      <c r="D1947" s="323">
        <v>7.68</v>
      </c>
      <c r="E1947" s="323">
        <v>7.68</v>
      </c>
      <c r="F1947" s="323"/>
      <c r="G1947" s="323"/>
      <c r="H1947" s="324">
        <v>100.16</v>
      </c>
      <c r="I1947" s="324">
        <v>100.16</v>
      </c>
      <c r="J1947" s="324"/>
      <c r="K1947" s="324"/>
      <c r="L1947" s="357">
        <v>13.041666666666666</v>
      </c>
      <c r="M1947" s="357">
        <v>13.05</v>
      </c>
      <c r="N1947" s="357" t="s">
        <v>135</v>
      </c>
      <c r="O1947" s="357" t="s">
        <v>135</v>
      </c>
      <c r="P1947" s="325"/>
      <c r="Q1947" s="325"/>
      <c r="R1947" s="325">
        <v>53</v>
      </c>
    </row>
    <row r="1948" spans="1:18" ht="36">
      <c r="A1948" s="321">
        <v>64.367999999999995</v>
      </c>
      <c r="B1948" s="314" t="s">
        <v>3457</v>
      </c>
      <c r="C1948" s="322" t="s">
        <v>3458</v>
      </c>
      <c r="D1948" s="323">
        <v>9.94</v>
      </c>
      <c r="E1948" s="323">
        <v>9.94</v>
      </c>
      <c r="F1948" s="323"/>
      <c r="G1948" s="323"/>
      <c r="H1948" s="324">
        <v>129.69</v>
      </c>
      <c r="I1948" s="324">
        <v>129.69</v>
      </c>
      <c r="J1948" s="324"/>
      <c r="K1948" s="324"/>
      <c r="L1948" s="357">
        <v>13.04728370221328</v>
      </c>
      <c r="M1948" s="357">
        <v>13.05</v>
      </c>
      <c r="N1948" s="357" t="s">
        <v>135</v>
      </c>
      <c r="O1948" s="357" t="s">
        <v>135</v>
      </c>
      <c r="P1948" s="325"/>
      <c r="Q1948" s="325"/>
      <c r="R1948" s="325">
        <v>53</v>
      </c>
    </row>
    <row r="1949" spans="1:18" ht="24">
      <c r="A1949" s="326">
        <v>64.369</v>
      </c>
      <c r="B1949" s="327" t="s">
        <v>3459</v>
      </c>
      <c r="C1949" s="328" t="s">
        <v>3460</v>
      </c>
      <c r="D1949" s="329">
        <v>11.95</v>
      </c>
      <c r="E1949" s="329">
        <v>11.22</v>
      </c>
      <c r="F1949" s="329">
        <v>0.73</v>
      </c>
      <c r="G1949" s="329"/>
      <c r="H1949" s="330">
        <v>151.94999999999999</v>
      </c>
      <c r="I1949" s="330">
        <v>146.38999999999999</v>
      </c>
      <c r="J1949" s="330">
        <v>5.56</v>
      </c>
      <c r="K1949" s="330"/>
      <c r="L1949" s="356">
        <v>12.715481171548117</v>
      </c>
      <c r="M1949" s="356">
        <v>13.05</v>
      </c>
      <c r="N1949" s="356">
        <v>7.6164383561643829</v>
      </c>
      <c r="O1949" s="356" t="s">
        <v>135</v>
      </c>
      <c r="P1949" s="331"/>
      <c r="Q1949" s="331"/>
      <c r="R1949" s="331">
        <v>53</v>
      </c>
    </row>
    <row r="1950" spans="1:18" ht="12.75">
      <c r="A1950" s="428" t="s">
        <v>3461</v>
      </c>
      <c r="B1950" s="429"/>
      <c r="C1950" s="429"/>
      <c r="D1950" s="429"/>
      <c r="E1950" s="429"/>
      <c r="F1950" s="429"/>
      <c r="G1950" s="429"/>
      <c r="H1950" s="429"/>
      <c r="I1950" s="429"/>
      <c r="J1950" s="429"/>
      <c r="K1950" s="429"/>
      <c r="L1950" s="429"/>
      <c r="M1950" s="429"/>
      <c r="N1950" s="429"/>
      <c r="O1950" s="429"/>
      <c r="P1950" s="429"/>
      <c r="Q1950" s="429"/>
      <c r="R1950" s="429"/>
    </row>
    <row r="1951" spans="1:18" ht="24">
      <c r="A1951" s="321">
        <v>64.37</v>
      </c>
      <c r="B1951" s="314" t="s">
        <v>3462</v>
      </c>
      <c r="C1951" s="322" t="s">
        <v>3463</v>
      </c>
      <c r="D1951" s="323">
        <v>183.19</v>
      </c>
      <c r="E1951" s="323">
        <v>28.73</v>
      </c>
      <c r="F1951" s="323">
        <v>2.93</v>
      </c>
      <c r="G1951" s="323">
        <v>151.53</v>
      </c>
      <c r="H1951" s="324">
        <v>1278.44</v>
      </c>
      <c r="I1951" s="324">
        <v>374.96</v>
      </c>
      <c r="J1951" s="324">
        <v>22.23</v>
      </c>
      <c r="K1951" s="324">
        <v>881.25</v>
      </c>
      <c r="L1951" s="357">
        <v>6.9787652164419463</v>
      </c>
      <c r="M1951" s="357">
        <v>13.05</v>
      </c>
      <c r="N1951" s="357">
        <v>7.5870307167235493</v>
      </c>
      <c r="O1951" s="357">
        <v>5.8156800633537911</v>
      </c>
      <c r="P1951" s="325"/>
      <c r="Q1951" s="325"/>
      <c r="R1951" s="325">
        <v>54</v>
      </c>
    </row>
    <row r="1952" spans="1:18" ht="24">
      <c r="A1952" s="321">
        <v>64.370999999999995</v>
      </c>
      <c r="B1952" s="314" t="s">
        <v>3464</v>
      </c>
      <c r="C1952" s="322" t="s">
        <v>3465</v>
      </c>
      <c r="D1952" s="323">
        <v>120.77</v>
      </c>
      <c r="E1952" s="323">
        <v>22.53</v>
      </c>
      <c r="F1952" s="323">
        <v>1.46</v>
      </c>
      <c r="G1952" s="323">
        <v>96.78</v>
      </c>
      <c r="H1952" s="324">
        <v>816.23</v>
      </c>
      <c r="I1952" s="324">
        <v>294.06</v>
      </c>
      <c r="J1952" s="324">
        <v>11.12</v>
      </c>
      <c r="K1952" s="324">
        <v>511.05</v>
      </c>
      <c r="L1952" s="357">
        <v>6.7585493086031301</v>
      </c>
      <c r="M1952" s="357">
        <v>13.05</v>
      </c>
      <c r="N1952" s="357">
        <v>7.6164383561643829</v>
      </c>
      <c r="O1952" s="357">
        <v>5.2805331680099199</v>
      </c>
      <c r="P1952" s="325"/>
      <c r="Q1952" s="325"/>
      <c r="R1952" s="325">
        <v>54</v>
      </c>
    </row>
    <row r="1953" spans="1:18" ht="24">
      <c r="A1953" s="321">
        <v>64.372</v>
      </c>
      <c r="B1953" s="314" t="s">
        <v>3466</v>
      </c>
      <c r="C1953" s="322" t="s">
        <v>3467</v>
      </c>
      <c r="D1953" s="323">
        <v>1.87</v>
      </c>
      <c r="E1953" s="323">
        <v>1.87</v>
      </c>
      <c r="F1953" s="323"/>
      <c r="G1953" s="323"/>
      <c r="H1953" s="324">
        <v>24.4</v>
      </c>
      <c r="I1953" s="324">
        <v>24.4</v>
      </c>
      <c r="J1953" s="324"/>
      <c r="K1953" s="324"/>
      <c r="L1953" s="357">
        <v>13.048128342245988</v>
      </c>
      <c r="M1953" s="357">
        <v>13.05</v>
      </c>
      <c r="N1953" s="357" t="s">
        <v>135</v>
      </c>
      <c r="O1953" s="357" t="s">
        <v>135</v>
      </c>
      <c r="P1953" s="325"/>
      <c r="Q1953" s="325"/>
      <c r="R1953" s="325">
        <v>54</v>
      </c>
    </row>
    <row r="1954" spans="1:18" ht="24">
      <c r="A1954" s="321">
        <v>64.373000000000005</v>
      </c>
      <c r="B1954" s="314" t="s">
        <v>3468</v>
      </c>
      <c r="C1954" s="322" t="s">
        <v>3469</v>
      </c>
      <c r="D1954" s="323">
        <v>5.51</v>
      </c>
      <c r="E1954" s="323">
        <v>5.51</v>
      </c>
      <c r="F1954" s="323"/>
      <c r="G1954" s="323"/>
      <c r="H1954" s="324">
        <v>71.91</v>
      </c>
      <c r="I1954" s="324">
        <v>71.91</v>
      </c>
      <c r="J1954" s="324"/>
      <c r="K1954" s="324"/>
      <c r="L1954" s="357">
        <v>13.050816696914701</v>
      </c>
      <c r="M1954" s="357">
        <v>13.05</v>
      </c>
      <c r="N1954" s="357" t="s">
        <v>135</v>
      </c>
      <c r="O1954" s="357" t="s">
        <v>135</v>
      </c>
      <c r="P1954" s="325"/>
      <c r="Q1954" s="325"/>
      <c r="R1954" s="325">
        <v>54</v>
      </c>
    </row>
    <row r="1955" spans="1:18" ht="36">
      <c r="A1955" s="321">
        <v>64.373999999999995</v>
      </c>
      <c r="B1955" s="314" t="s">
        <v>3470</v>
      </c>
      <c r="C1955" s="322" t="s">
        <v>3471</v>
      </c>
      <c r="D1955" s="323">
        <v>13.19</v>
      </c>
      <c r="E1955" s="323">
        <v>13.19</v>
      </c>
      <c r="F1955" s="323"/>
      <c r="G1955" s="323"/>
      <c r="H1955" s="324">
        <v>172.07</v>
      </c>
      <c r="I1955" s="324">
        <v>172.07</v>
      </c>
      <c r="J1955" s="324"/>
      <c r="K1955" s="324"/>
      <c r="L1955" s="357">
        <v>13.045489006823351</v>
      </c>
      <c r="M1955" s="357">
        <v>13.05</v>
      </c>
      <c r="N1955" s="357" t="s">
        <v>135</v>
      </c>
      <c r="O1955" s="357" t="s">
        <v>135</v>
      </c>
      <c r="P1955" s="325"/>
      <c r="Q1955" s="325"/>
      <c r="R1955" s="325">
        <v>54</v>
      </c>
    </row>
    <row r="1956" spans="1:18" ht="36">
      <c r="A1956" s="321">
        <v>64.375</v>
      </c>
      <c r="B1956" s="314" t="s">
        <v>3472</v>
      </c>
      <c r="C1956" s="322" t="s">
        <v>3473</v>
      </c>
      <c r="D1956" s="323">
        <v>16.920000000000002</v>
      </c>
      <c r="E1956" s="323">
        <v>16.920000000000002</v>
      </c>
      <c r="F1956" s="323"/>
      <c r="G1956" s="323"/>
      <c r="H1956" s="324">
        <v>220.87</v>
      </c>
      <c r="I1956" s="324">
        <v>220.87</v>
      </c>
      <c r="J1956" s="324"/>
      <c r="K1956" s="324"/>
      <c r="L1956" s="357">
        <v>13.053782505910165</v>
      </c>
      <c r="M1956" s="357">
        <v>13.05</v>
      </c>
      <c r="N1956" s="357" t="s">
        <v>135</v>
      </c>
      <c r="O1956" s="357" t="s">
        <v>135</v>
      </c>
      <c r="P1956" s="325"/>
      <c r="Q1956" s="325"/>
      <c r="R1956" s="325">
        <v>54</v>
      </c>
    </row>
    <row r="1957" spans="1:18" ht="24">
      <c r="A1957" s="326">
        <v>64.376000000000005</v>
      </c>
      <c r="B1957" s="327" t="s">
        <v>3474</v>
      </c>
      <c r="C1957" s="328" t="s">
        <v>3475</v>
      </c>
      <c r="D1957" s="329">
        <v>19.010000000000002</v>
      </c>
      <c r="E1957" s="329">
        <v>17.91</v>
      </c>
      <c r="F1957" s="329">
        <v>1.1000000000000001</v>
      </c>
      <c r="G1957" s="329"/>
      <c r="H1957" s="330">
        <v>242.05</v>
      </c>
      <c r="I1957" s="330">
        <v>233.71</v>
      </c>
      <c r="J1957" s="330">
        <v>8.34</v>
      </c>
      <c r="K1957" s="330"/>
      <c r="L1957" s="356">
        <v>12.732772225144661</v>
      </c>
      <c r="M1957" s="356">
        <v>13.05</v>
      </c>
      <c r="N1957" s="356">
        <v>7.5818181818181811</v>
      </c>
      <c r="O1957" s="356" t="s">
        <v>135</v>
      </c>
      <c r="P1957" s="331"/>
      <c r="Q1957" s="331"/>
      <c r="R1957" s="331">
        <v>54</v>
      </c>
    </row>
    <row r="1958" spans="1:18" ht="12.75">
      <c r="A1958" s="428" t="s">
        <v>3476</v>
      </c>
      <c r="B1958" s="429"/>
      <c r="C1958" s="429"/>
      <c r="D1958" s="429"/>
      <c r="E1958" s="429"/>
      <c r="F1958" s="429"/>
      <c r="G1958" s="429"/>
      <c r="H1958" s="429"/>
      <c r="I1958" s="429"/>
      <c r="J1958" s="429"/>
      <c r="K1958" s="429"/>
      <c r="L1958" s="429"/>
      <c r="M1958" s="429"/>
      <c r="N1958" s="429"/>
      <c r="O1958" s="429"/>
      <c r="P1958" s="429"/>
      <c r="Q1958" s="429"/>
      <c r="R1958" s="429"/>
    </row>
    <row r="1959" spans="1:18" ht="24">
      <c r="A1959" s="321">
        <v>64.376999999999995</v>
      </c>
      <c r="B1959" s="314" t="s">
        <v>3477</v>
      </c>
      <c r="C1959" s="322" t="s">
        <v>3478</v>
      </c>
      <c r="D1959" s="323">
        <v>84.34</v>
      </c>
      <c r="E1959" s="323">
        <v>33.24</v>
      </c>
      <c r="F1959" s="323"/>
      <c r="G1959" s="323">
        <v>51.1</v>
      </c>
      <c r="H1959" s="324">
        <v>801.14</v>
      </c>
      <c r="I1959" s="324">
        <v>433.77</v>
      </c>
      <c r="J1959" s="324"/>
      <c r="K1959" s="324">
        <v>367.37</v>
      </c>
      <c r="L1959" s="357">
        <v>9.4989328906805781</v>
      </c>
      <c r="M1959" s="357">
        <v>13.05</v>
      </c>
      <c r="N1959" s="357" t="s">
        <v>135</v>
      </c>
      <c r="O1959" s="357">
        <v>7.1892367906066532</v>
      </c>
      <c r="P1959" s="325"/>
      <c r="Q1959" s="325"/>
      <c r="R1959" s="325">
        <v>55</v>
      </c>
    </row>
    <row r="1960" spans="1:18" ht="24">
      <c r="A1960" s="321">
        <v>64.378</v>
      </c>
      <c r="B1960" s="314" t="s">
        <v>3479</v>
      </c>
      <c r="C1960" s="322" t="s">
        <v>3480</v>
      </c>
      <c r="D1960" s="323">
        <v>53.48</v>
      </c>
      <c r="E1960" s="323">
        <v>24.24</v>
      </c>
      <c r="F1960" s="323"/>
      <c r="G1960" s="323">
        <v>29.24</v>
      </c>
      <c r="H1960" s="324">
        <v>563.33000000000004</v>
      </c>
      <c r="I1960" s="324">
        <v>316.38</v>
      </c>
      <c r="J1960" s="324"/>
      <c r="K1960" s="324">
        <v>246.95</v>
      </c>
      <c r="L1960" s="357">
        <v>10.533470456245327</v>
      </c>
      <c r="M1960" s="357">
        <v>13.05</v>
      </c>
      <c r="N1960" s="357" t="s">
        <v>135</v>
      </c>
      <c r="O1960" s="357">
        <v>8.4456224350205193</v>
      </c>
      <c r="P1960" s="325"/>
      <c r="Q1960" s="325"/>
      <c r="R1960" s="325">
        <v>55</v>
      </c>
    </row>
    <row r="1961" spans="1:18" ht="24">
      <c r="A1961" s="321">
        <v>64.379000000000005</v>
      </c>
      <c r="B1961" s="314" t="s">
        <v>3481</v>
      </c>
      <c r="C1961" s="322" t="s">
        <v>3482</v>
      </c>
      <c r="D1961" s="323">
        <v>1.39</v>
      </c>
      <c r="E1961" s="323">
        <v>1.39</v>
      </c>
      <c r="F1961" s="323"/>
      <c r="G1961" s="323"/>
      <c r="H1961" s="324">
        <v>18.170000000000002</v>
      </c>
      <c r="I1961" s="324">
        <v>18.170000000000002</v>
      </c>
      <c r="J1961" s="324"/>
      <c r="K1961" s="324"/>
      <c r="L1961" s="357">
        <v>13.071942446043167</v>
      </c>
      <c r="M1961" s="357">
        <v>13.05</v>
      </c>
      <c r="N1961" s="357" t="s">
        <v>135</v>
      </c>
      <c r="O1961" s="357" t="s">
        <v>135</v>
      </c>
      <c r="P1961" s="325"/>
      <c r="Q1961" s="325"/>
      <c r="R1961" s="325">
        <v>55</v>
      </c>
    </row>
    <row r="1962" spans="1:18" ht="24">
      <c r="A1962" s="321">
        <v>64.38</v>
      </c>
      <c r="B1962" s="314" t="s">
        <v>3483</v>
      </c>
      <c r="C1962" s="322" t="s">
        <v>3484</v>
      </c>
      <c r="D1962" s="323">
        <v>4.3899999999999997</v>
      </c>
      <c r="E1962" s="323">
        <v>4.3899999999999997</v>
      </c>
      <c r="F1962" s="323"/>
      <c r="G1962" s="323"/>
      <c r="H1962" s="324">
        <v>57.31</v>
      </c>
      <c r="I1962" s="324">
        <v>57.31</v>
      </c>
      <c r="J1962" s="324"/>
      <c r="K1962" s="324"/>
      <c r="L1962" s="357">
        <v>13.054669703872438</v>
      </c>
      <c r="M1962" s="357">
        <v>13.05</v>
      </c>
      <c r="N1962" s="357" t="s">
        <v>135</v>
      </c>
      <c r="O1962" s="357" t="s">
        <v>135</v>
      </c>
      <c r="P1962" s="325"/>
      <c r="Q1962" s="325"/>
      <c r="R1962" s="325">
        <v>55</v>
      </c>
    </row>
    <row r="1963" spans="1:18" ht="36">
      <c r="A1963" s="321">
        <v>64.381</v>
      </c>
      <c r="B1963" s="314" t="s">
        <v>3485</v>
      </c>
      <c r="C1963" s="322" t="s">
        <v>3486</v>
      </c>
      <c r="D1963" s="323">
        <v>9.75</v>
      </c>
      <c r="E1963" s="323">
        <v>9.75</v>
      </c>
      <c r="F1963" s="323"/>
      <c r="G1963" s="323"/>
      <c r="H1963" s="324">
        <v>127.19</v>
      </c>
      <c r="I1963" s="324">
        <v>127.19</v>
      </c>
      <c r="J1963" s="324"/>
      <c r="K1963" s="324"/>
      <c r="L1963" s="357">
        <v>13.045128205128204</v>
      </c>
      <c r="M1963" s="357">
        <v>13.05</v>
      </c>
      <c r="N1963" s="357" t="s">
        <v>135</v>
      </c>
      <c r="O1963" s="357" t="s">
        <v>135</v>
      </c>
      <c r="P1963" s="325"/>
      <c r="Q1963" s="325"/>
      <c r="R1963" s="325">
        <v>55</v>
      </c>
    </row>
    <row r="1964" spans="1:18" ht="36">
      <c r="A1964" s="321">
        <v>64.382000000000005</v>
      </c>
      <c r="B1964" s="314" t="s">
        <v>3487</v>
      </c>
      <c r="C1964" s="322" t="s">
        <v>3488</v>
      </c>
      <c r="D1964" s="323">
        <v>12.64</v>
      </c>
      <c r="E1964" s="323">
        <v>12.64</v>
      </c>
      <c r="F1964" s="323"/>
      <c r="G1964" s="323"/>
      <c r="H1964" s="324">
        <v>164.93</v>
      </c>
      <c r="I1964" s="324">
        <v>164.93</v>
      </c>
      <c r="J1964" s="324"/>
      <c r="K1964" s="324"/>
      <c r="L1964" s="357">
        <v>13.048259493670885</v>
      </c>
      <c r="M1964" s="357">
        <v>13.05</v>
      </c>
      <c r="N1964" s="357" t="s">
        <v>135</v>
      </c>
      <c r="O1964" s="357" t="s">
        <v>135</v>
      </c>
      <c r="P1964" s="325"/>
      <c r="Q1964" s="325"/>
      <c r="R1964" s="325">
        <v>55</v>
      </c>
    </row>
    <row r="1965" spans="1:18" ht="24">
      <c r="A1965" s="326">
        <v>64.382999999999996</v>
      </c>
      <c r="B1965" s="327" t="s">
        <v>3489</v>
      </c>
      <c r="C1965" s="328" t="s">
        <v>3490</v>
      </c>
      <c r="D1965" s="329">
        <v>15.1</v>
      </c>
      <c r="E1965" s="329">
        <v>15.1</v>
      </c>
      <c r="F1965" s="329"/>
      <c r="G1965" s="329"/>
      <c r="H1965" s="330">
        <v>197.08</v>
      </c>
      <c r="I1965" s="330">
        <v>197.08</v>
      </c>
      <c r="J1965" s="330"/>
      <c r="K1965" s="330"/>
      <c r="L1965" s="356">
        <v>13.051655629139074</v>
      </c>
      <c r="M1965" s="356">
        <v>13.05</v>
      </c>
      <c r="N1965" s="356" t="s">
        <v>135</v>
      </c>
      <c r="O1965" s="356" t="s">
        <v>135</v>
      </c>
      <c r="P1965" s="331"/>
      <c r="Q1965" s="331"/>
      <c r="R1965" s="331">
        <v>55</v>
      </c>
    </row>
    <row r="1966" spans="1:18" ht="12.75">
      <c r="A1966" s="428" t="s">
        <v>3491</v>
      </c>
      <c r="B1966" s="429"/>
      <c r="C1966" s="429"/>
      <c r="D1966" s="429"/>
      <c r="E1966" s="429"/>
      <c r="F1966" s="429"/>
      <c r="G1966" s="429"/>
      <c r="H1966" s="429"/>
      <c r="I1966" s="429"/>
      <c r="J1966" s="429"/>
      <c r="K1966" s="429"/>
      <c r="L1966" s="429"/>
      <c r="M1966" s="429"/>
      <c r="N1966" s="429"/>
      <c r="O1966" s="429"/>
      <c r="P1966" s="429"/>
      <c r="Q1966" s="429"/>
      <c r="R1966" s="429"/>
    </row>
    <row r="1967" spans="1:18" ht="24">
      <c r="A1967" s="321">
        <v>64.384</v>
      </c>
      <c r="B1967" s="314" t="s">
        <v>3492</v>
      </c>
      <c r="C1967" s="322" t="s">
        <v>3493</v>
      </c>
      <c r="D1967" s="323">
        <v>30.53</v>
      </c>
      <c r="E1967" s="323">
        <v>19.5</v>
      </c>
      <c r="F1967" s="323"/>
      <c r="G1967" s="323">
        <v>11.03</v>
      </c>
      <c r="H1967" s="324">
        <v>322.02999999999997</v>
      </c>
      <c r="I1967" s="324">
        <v>254.55</v>
      </c>
      <c r="J1967" s="324"/>
      <c r="K1967" s="324">
        <v>67.48</v>
      </c>
      <c r="L1967" s="357">
        <v>10.547985587946281</v>
      </c>
      <c r="M1967" s="357">
        <v>13.05</v>
      </c>
      <c r="N1967" s="357" t="s">
        <v>135</v>
      </c>
      <c r="O1967" s="357">
        <v>6.1178603807796925</v>
      </c>
      <c r="P1967" s="325"/>
      <c r="Q1967" s="325"/>
      <c r="R1967" s="325">
        <v>56</v>
      </c>
    </row>
    <row r="1968" spans="1:18" ht="24">
      <c r="A1968" s="321">
        <v>64.385000000000005</v>
      </c>
      <c r="B1968" s="314" t="s">
        <v>3494</v>
      </c>
      <c r="C1968" s="322" t="s">
        <v>3495</v>
      </c>
      <c r="D1968" s="323">
        <v>21.73</v>
      </c>
      <c r="E1968" s="323">
        <v>14.86</v>
      </c>
      <c r="F1968" s="323"/>
      <c r="G1968" s="323">
        <v>6.87</v>
      </c>
      <c r="H1968" s="324">
        <v>241.59</v>
      </c>
      <c r="I1968" s="324">
        <v>193.94</v>
      </c>
      <c r="J1968" s="324"/>
      <c r="K1968" s="324">
        <v>47.65</v>
      </c>
      <c r="L1968" s="357">
        <v>11.117809479981592</v>
      </c>
      <c r="M1968" s="357">
        <v>13.05</v>
      </c>
      <c r="N1968" s="357" t="s">
        <v>135</v>
      </c>
      <c r="O1968" s="357">
        <v>6.9359534206695779</v>
      </c>
      <c r="P1968" s="325"/>
      <c r="Q1968" s="325"/>
      <c r="R1968" s="325">
        <v>56</v>
      </c>
    </row>
    <row r="1969" spans="1:18" ht="24">
      <c r="A1969" s="321">
        <v>64.385999999999996</v>
      </c>
      <c r="B1969" s="314" t="s">
        <v>3496</v>
      </c>
      <c r="C1969" s="322" t="s">
        <v>3497</v>
      </c>
      <c r="D1969" s="323">
        <v>1.1399999999999999</v>
      </c>
      <c r="E1969" s="323">
        <v>1.1399999999999999</v>
      </c>
      <c r="F1969" s="323"/>
      <c r="G1969" s="323"/>
      <c r="H1969" s="324">
        <v>14.81</v>
      </c>
      <c r="I1969" s="324">
        <v>14.81</v>
      </c>
      <c r="J1969" s="324"/>
      <c r="K1969" s="324"/>
      <c r="L1969" s="357">
        <v>12.99122807017544</v>
      </c>
      <c r="M1969" s="357">
        <v>13.05</v>
      </c>
      <c r="N1969" s="357" t="s">
        <v>135</v>
      </c>
      <c r="O1969" s="357" t="s">
        <v>135</v>
      </c>
      <c r="P1969" s="325"/>
      <c r="Q1969" s="325"/>
      <c r="R1969" s="325">
        <v>56</v>
      </c>
    </row>
    <row r="1970" spans="1:18" ht="24">
      <c r="A1970" s="321">
        <v>64.387</v>
      </c>
      <c r="B1970" s="314" t="s">
        <v>3498</v>
      </c>
      <c r="C1970" s="322" t="s">
        <v>3499</v>
      </c>
      <c r="D1970" s="323">
        <v>4.2300000000000004</v>
      </c>
      <c r="E1970" s="323">
        <v>4.2300000000000004</v>
      </c>
      <c r="F1970" s="323"/>
      <c r="G1970" s="323"/>
      <c r="H1970" s="324">
        <v>55.22</v>
      </c>
      <c r="I1970" s="324">
        <v>55.22</v>
      </c>
      <c r="J1970" s="324"/>
      <c r="K1970" s="324"/>
      <c r="L1970" s="357">
        <v>13.054373522458627</v>
      </c>
      <c r="M1970" s="357">
        <v>13.05</v>
      </c>
      <c r="N1970" s="357" t="s">
        <v>135</v>
      </c>
      <c r="O1970" s="357" t="s">
        <v>135</v>
      </c>
      <c r="P1970" s="325"/>
      <c r="Q1970" s="325"/>
      <c r="R1970" s="325">
        <v>56</v>
      </c>
    </row>
    <row r="1971" spans="1:18" ht="36">
      <c r="A1971" s="321">
        <v>64.388000000000005</v>
      </c>
      <c r="B1971" s="314" t="s">
        <v>3500</v>
      </c>
      <c r="C1971" s="322" t="s">
        <v>3501</v>
      </c>
      <c r="D1971" s="323">
        <v>7.43</v>
      </c>
      <c r="E1971" s="323">
        <v>7.43</v>
      </c>
      <c r="F1971" s="323"/>
      <c r="G1971" s="323"/>
      <c r="H1971" s="324">
        <v>96.97</v>
      </c>
      <c r="I1971" s="324">
        <v>96.97</v>
      </c>
      <c r="J1971" s="324"/>
      <c r="K1971" s="324"/>
      <c r="L1971" s="357">
        <v>13.05114401076716</v>
      </c>
      <c r="M1971" s="357">
        <v>13.05</v>
      </c>
      <c r="N1971" s="357" t="s">
        <v>135</v>
      </c>
      <c r="O1971" s="357" t="s">
        <v>135</v>
      </c>
      <c r="P1971" s="325"/>
      <c r="Q1971" s="325"/>
      <c r="R1971" s="325">
        <v>56</v>
      </c>
    </row>
    <row r="1972" spans="1:18" ht="36">
      <c r="A1972" s="321">
        <v>64.388999999999996</v>
      </c>
      <c r="B1972" s="314" t="s">
        <v>3502</v>
      </c>
      <c r="C1972" s="322" t="s">
        <v>3503</v>
      </c>
      <c r="D1972" s="323">
        <v>10.42</v>
      </c>
      <c r="E1972" s="323">
        <v>10.42</v>
      </c>
      <c r="F1972" s="323"/>
      <c r="G1972" s="323"/>
      <c r="H1972" s="324">
        <v>136.03</v>
      </c>
      <c r="I1972" s="324">
        <v>136.03</v>
      </c>
      <c r="J1972" s="324"/>
      <c r="K1972" s="324"/>
      <c r="L1972" s="357">
        <v>13.054702495201536</v>
      </c>
      <c r="M1972" s="357">
        <v>13.05</v>
      </c>
      <c r="N1972" s="357" t="s">
        <v>135</v>
      </c>
      <c r="O1972" s="357" t="s">
        <v>135</v>
      </c>
      <c r="P1972" s="325"/>
      <c r="Q1972" s="325"/>
      <c r="R1972" s="325">
        <v>56</v>
      </c>
    </row>
    <row r="1973" spans="1:18" ht="24">
      <c r="A1973" s="326">
        <v>64.39</v>
      </c>
      <c r="B1973" s="327" t="s">
        <v>3504</v>
      </c>
      <c r="C1973" s="328" t="s">
        <v>3505</v>
      </c>
      <c r="D1973" s="329">
        <v>9.39</v>
      </c>
      <c r="E1973" s="329">
        <v>9.39</v>
      </c>
      <c r="F1973" s="329"/>
      <c r="G1973" s="329"/>
      <c r="H1973" s="330">
        <v>122.56</v>
      </c>
      <c r="I1973" s="330">
        <v>122.56</v>
      </c>
      <c r="J1973" s="330"/>
      <c r="K1973" s="330"/>
      <c r="L1973" s="356">
        <v>13.052183173588924</v>
      </c>
      <c r="M1973" s="356">
        <v>13.05</v>
      </c>
      <c r="N1973" s="356" t="s">
        <v>135</v>
      </c>
      <c r="O1973" s="356" t="s">
        <v>135</v>
      </c>
      <c r="P1973" s="331"/>
      <c r="Q1973" s="331"/>
      <c r="R1973" s="331">
        <v>56</v>
      </c>
    </row>
    <row r="1974" spans="1:18" ht="12.75">
      <c r="A1974" s="428" t="s">
        <v>3506</v>
      </c>
      <c r="B1974" s="429"/>
      <c r="C1974" s="429"/>
      <c r="D1974" s="429"/>
      <c r="E1974" s="429"/>
      <c r="F1974" s="429"/>
      <c r="G1974" s="429"/>
      <c r="H1974" s="429"/>
      <c r="I1974" s="429"/>
      <c r="J1974" s="429"/>
      <c r="K1974" s="429"/>
      <c r="L1974" s="429"/>
      <c r="M1974" s="429"/>
      <c r="N1974" s="429"/>
      <c r="O1974" s="429"/>
      <c r="P1974" s="429"/>
      <c r="Q1974" s="429"/>
      <c r="R1974" s="429"/>
    </row>
    <row r="1975" spans="1:18" ht="24">
      <c r="A1975" s="321">
        <v>64.391000000000005</v>
      </c>
      <c r="B1975" s="314" t="s">
        <v>3507</v>
      </c>
      <c r="C1975" s="322" t="s">
        <v>3508</v>
      </c>
      <c r="D1975" s="323">
        <v>48.08</v>
      </c>
      <c r="E1975" s="323">
        <v>22.5</v>
      </c>
      <c r="F1975" s="323"/>
      <c r="G1975" s="323">
        <v>25.58</v>
      </c>
      <c r="H1975" s="324">
        <v>447.75</v>
      </c>
      <c r="I1975" s="324">
        <v>293.60000000000002</v>
      </c>
      <c r="J1975" s="324"/>
      <c r="K1975" s="324">
        <v>154.15</v>
      </c>
      <c r="L1975" s="357">
        <v>9.3126039933444265</v>
      </c>
      <c r="M1975" s="357">
        <v>13.05</v>
      </c>
      <c r="N1975" s="357" t="s">
        <v>135</v>
      </c>
      <c r="O1975" s="357">
        <v>6.0261923377638791</v>
      </c>
      <c r="P1975" s="325"/>
      <c r="Q1975" s="325"/>
      <c r="R1975" s="325">
        <v>57</v>
      </c>
    </row>
    <row r="1976" spans="1:18" ht="24">
      <c r="A1976" s="321">
        <v>64.391999999999996</v>
      </c>
      <c r="B1976" s="314" t="s">
        <v>3509</v>
      </c>
      <c r="C1976" s="322" t="s">
        <v>3510</v>
      </c>
      <c r="D1976" s="323">
        <v>33.03</v>
      </c>
      <c r="E1976" s="323">
        <v>17.03</v>
      </c>
      <c r="F1976" s="323"/>
      <c r="G1976" s="323">
        <v>16</v>
      </c>
      <c r="H1976" s="324">
        <v>333.63</v>
      </c>
      <c r="I1976" s="324">
        <v>222.22</v>
      </c>
      <c r="J1976" s="324"/>
      <c r="K1976" s="324">
        <v>111.41</v>
      </c>
      <c r="L1976" s="357">
        <v>10.100817438692097</v>
      </c>
      <c r="M1976" s="357">
        <v>13.05</v>
      </c>
      <c r="N1976" s="357" t="s">
        <v>135</v>
      </c>
      <c r="O1976" s="357">
        <v>6.9631249999999998</v>
      </c>
      <c r="P1976" s="325"/>
      <c r="Q1976" s="325"/>
      <c r="R1976" s="325">
        <v>57</v>
      </c>
    </row>
    <row r="1977" spans="1:18" ht="24">
      <c r="A1977" s="321">
        <v>64.393000000000001</v>
      </c>
      <c r="B1977" s="314" t="s">
        <v>3511</v>
      </c>
      <c r="C1977" s="322" t="s">
        <v>3512</v>
      </c>
      <c r="D1977" s="323">
        <v>1.44</v>
      </c>
      <c r="E1977" s="323">
        <v>1.44</v>
      </c>
      <c r="F1977" s="323"/>
      <c r="G1977" s="323"/>
      <c r="H1977" s="324">
        <v>18.86</v>
      </c>
      <c r="I1977" s="324">
        <v>18.86</v>
      </c>
      <c r="J1977" s="324"/>
      <c r="K1977" s="324"/>
      <c r="L1977" s="357">
        <v>13.097222222222221</v>
      </c>
      <c r="M1977" s="357">
        <v>13.05</v>
      </c>
      <c r="N1977" s="357" t="s">
        <v>135</v>
      </c>
      <c r="O1977" s="357" t="s">
        <v>135</v>
      </c>
      <c r="P1977" s="325"/>
      <c r="Q1977" s="325"/>
      <c r="R1977" s="325">
        <v>57</v>
      </c>
    </row>
    <row r="1978" spans="1:18" ht="24">
      <c r="A1978" s="321">
        <v>64.394000000000005</v>
      </c>
      <c r="B1978" s="314" t="s">
        <v>3513</v>
      </c>
      <c r="C1978" s="322" t="s">
        <v>3514</v>
      </c>
      <c r="D1978" s="323">
        <v>5.78</v>
      </c>
      <c r="E1978" s="323">
        <v>5.78</v>
      </c>
      <c r="F1978" s="323"/>
      <c r="G1978" s="323"/>
      <c r="H1978" s="324">
        <v>75.42</v>
      </c>
      <c r="I1978" s="324">
        <v>75.42</v>
      </c>
      <c r="J1978" s="324"/>
      <c r="K1978" s="324"/>
      <c r="L1978" s="357">
        <v>13.048442906574394</v>
      </c>
      <c r="M1978" s="357">
        <v>13.05</v>
      </c>
      <c r="N1978" s="357" t="s">
        <v>135</v>
      </c>
      <c r="O1978" s="357" t="s">
        <v>135</v>
      </c>
      <c r="P1978" s="325"/>
      <c r="Q1978" s="325"/>
      <c r="R1978" s="325">
        <v>57</v>
      </c>
    </row>
    <row r="1979" spans="1:18" ht="36">
      <c r="A1979" s="321">
        <v>64.394999999999996</v>
      </c>
      <c r="B1979" s="314" t="s">
        <v>3515</v>
      </c>
      <c r="C1979" s="322" t="s">
        <v>3516</v>
      </c>
      <c r="D1979" s="323">
        <v>10.220000000000001</v>
      </c>
      <c r="E1979" s="323">
        <v>10.220000000000001</v>
      </c>
      <c r="F1979" s="323"/>
      <c r="G1979" s="323"/>
      <c r="H1979" s="324">
        <v>133.33000000000001</v>
      </c>
      <c r="I1979" s="324">
        <v>133.33000000000001</v>
      </c>
      <c r="J1979" s="324"/>
      <c r="K1979" s="324"/>
      <c r="L1979" s="357">
        <v>13.045988258317026</v>
      </c>
      <c r="M1979" s="357">
        <v>13.05</v>
      </c>
      <c r="N1979" s="357" t="s">
        <v>135</v>
      </c>
      <c r="O1979" s="357" t="s">
        <v>135</v>
      </c>
      <c r="P1979" s="325"/>
      <c r="Q1979" s="325"/>
      <c r="R1979" s="325">
        <v>57</v>
      </c>
    </row>
    <row r="1980" spans="1:18" ht="36">
      <c r="A1980" s="321">
        <v>64.396000000000001</v>
      </c>
      <c r="B1980" s="314" t="s">
        <v>3517</v>
      </c>
      <c r="C1980" s="322" t="s">
        <v>3518</v>
      </c>
      <c r="D1980" s="323">
        <v>14.55</v>
      </c>
      <c r="E1980" s="323">
        <v>14.55</v>
      </c>
      <c r="F1980" s="323"/>
      <c r="G1980" s="323"/>
      <c r="H1980" s="324">
        <v>189.9</v>
      </c>
      <c r="I1980" s="324">
        <v>189.9</v>
      </c>
      <c r="J1980" s="324"/>
      <c r="K1980" s="324"/>
      <c r="L1980" s="357">
        <v>13.051546391752577</v>
      </c>
      <c r="M1980" s="357">
        <v>13.05</v>
      </c>
      <c r="N1980" s="357" t="s">
        <v>135</v>
      </c>
      <c r="O1980" s="357" t="s">
        <v>135</v>
      </c>
      <c r="P1980" s="325"/>
      <c r="Q1980" s="325"/>
      <c r="R1980" s="325">
        <v>57</v>
      </c>
    </row>
    <row r="1981" spans="1:18" ht="24">
      <c r="A1981" s="326">
        <v>64.397000000000006</v>
      </c>
      <c r="B1981" s="327" t="s">
        <v>3519</v>
      </c>
      <c r="C1981" s="328" t="s">
        <v>3520</v>
      </c>
      <c r="D1981" s="329">
        <v>13</v>
      </c>
      <c r="E1981" s="329">
        <v>13</v>
      </c>
      <c r="F1981" s="329"/>
      <c r="G1981" s="329"/>
      <c r="H1981" s="330">
        <v>169.7</v>
      </c>
      <c r="I1981" s="330">
        <v>169.7</v>
      </c>
      <c r="J1981" s="330"/>
      <c r="K1981" s="330"/>
      <c r="L1981" s="356">
        <v>13.053846153846154</v>
      </c>
      <c r="M1981" s="356">
        <v>13.05</v>
      </c>
      <c r="N1981" s="356" t="s">
        <v>135</v>
      </c>
      <c r="O1981" s="356" t="s">
        <v>135</v>
      </c>
      <c r="P1981" s="331"/>
      <c r="Q1981" s="331"/>
      <c r="R1981" s="331">
        <v>57</v>
      </c>
    </row>
    <row r="1982" spans="1:18" ht="12.75">
      <c r="A1982" s="428" t="s">
        <v>3521</v>
      </c>
      <c r="B1982" s="429"/>
      <c r="C1982" s="429"/>
      <c r="D1982" s="429"/>
      <c r="E1982" s="429"/>
      <c r="F1982" s="429"/>
      <c r="G1982" s="429"/>
      <c r="H1982" s="429"/>
      <c r="I1982" s="429"/>
      <c r="J1982" s="429"/>
      <c r="K1982" s="429"/>
      <c r="L1982" s="429"/>
      <c r="M1982" s="429"/>
      <c r="N1982" s="429"/>
      <c r="O1982" s="429"/>
      <c r="P1982" s="429"/>
      <c r="Q1982" s="429"/>
      <c r="R1982" s="429"/>
    </row>
    <row r="1983" spans="1:18" ht="24">
      <c r="A1983" s="321">
        <v>64.397999999999996</v>
      </c>
      <c r="B1983" s="314" t="s">
        <v>3522</v>
      </c>
      <c r="C1983" s="322" t="s">
        <v>3523</v>
      </c>
      <c r="D1983" s="323">
        <v>106.71</v>
      </c>
      <c r="E1983" s="323">
        <v>33.950000000000003</v>
      </c>
      <c r="F1983" s="323">
        <v>1.1000000000000001</v>
      </c>
      <c r="G1983" s="323">
        <v>71.66</v>
      </c>
      <c r="H1983" s="324">
        <v>883.13</v>
      </c>
      <c r="I1983" s="324">
        <v>443.1</v>
      </c>
      <c r="J1983" s="324">
        <v>8.34</v>
      </c>
      <c r="K1983" s="324">
        <v>431.69</v>
      </c>
      <c r="L1983" s="357">
        <v>8.2759816324618125</v>
      </c>
      <c r="M1983" s="357">
        <v>13.05</v>
      </c>
      <c r="N1983" s="357">
        <v>7.5818181818181811</v>
      </c>
      <c r="O1983" s="357">
        <v>6.0241417806307567</v>
      </c>
      <c r="P1983" s="325"/>
      <c r="Q1983" s="325"/>
      <c r="R1983" s="325">
        <v>58</v>
      </c>
    </row>
    <row r="1984" spans="1:18" ht="24">
      <c r="A1984" s="321">
        <v>64.399000000000001</v>
      </c>
      <c r="B1984" s="314" t="s">
        <v>3524</v>
      </c>
      <c r="C1984" s="322" t="s">
        <v>3525</v>
      </c>
      <c r="D1984" s="323">
        <v>69.62</v>
      </c>
      <c r="E1984" s="323">
        <v>24.05</v>
      </c>
      <c r="F1984" s="323">
        <v>0.73</v>
      </c>
      <c r="G1984" s="323">
        <v>44.84</v>
      </c>
      <c r="H1984" s="324">
        <v>631.63</v>
      </c>
      <c r="I1984" s="324">
        <v>313.8</v>
      </c>
      <c r="J1984" s="324">
        <v>5.56</v>
      </c>
      <c r="K1984" s="324">
        <v>312.27</v>
      </c>
      <c r="L1984" s="357">
        <v>9.0725366274059169</v>
      </c>
      <c r="M1984" s="357">
        <v>13.05</v>
      </c>
      <c r="N1984" s="357">
        <v>7.6164383561643829</v>
      </c>
      <c r="O1984" s="357">
        <v>6.9640945584299727</v>
      </c>
      <c r="P1984" s="325"/>
      <c r="Q1984" s="325"/>
      <c r="R1984" s="325">
        <v>58</v>
      </c>
    </row>
    <row r="1985" spans="1:18" ht="24">
      <c r="A1985" s="321">
        <v>64.400000000000006</v>
      </c>
      <c r="B1985" s="314" t="s">
        <v>3526</v>
      </c>
      <c r="C1985" s="322" t="s">
        <v>3527</v>
      </c>
      <c r="D1985" s="323">
        <v>1.96</v>
      </c>
      <c r="E1985" s="323">
        <v>1.96</v>
      </c>
      <c r="F1985" s="323"/>
      <c r="G1985" s="323"/>
      <c r="H1985" s="324">
        <v>25.59</v>
      </c>
      <c r="I1985" s="324">
        <v>25.59</v>
      </c>
      <c r="J1985" s="324"/>
      <c r="K1985" s="324"/>
      <c r="L1985" s="357">
        <v>13.056122448979592</v>
      </c>
      <c r="M1985" s="357">
        <v>13.05</v>
      </c>
      <c r="N1985" s="357" t="s">
        <v>135</v>
      </c>
      <c r="O1985" s="357" t="s">
        <v>135</v>
      </c>
      <c r="P1985" s="325"/>
      <c r="Q1985" s="325"/>
      <c r="R1985" s="325">
        <v>58</v>
      </c>
    </row>
    <row r="1986" spans="1:18" ht="24">
      <c r="A1986" s="321">
        <v>64.400999999999996</v>
      </c>
      <c r="B1986" s="314" t="s">
        <v>3528</v>
      </c>
      <c r="C1986" s="322" t="s">
        <v>3529</v>
      </c>
      <c r="D1986" s="323">
        <v>7.74</v>
      </c>
      <c r="E1986" s="323">
        <v>7.74</v>
      </c>
      <c r="F1986" s="323"/>
      <c r="G1986" s="323"/>
      <c r="H1986" s="324">
        <v>101.01</v>
      </c>
      <c r="I1986" s="324">
        <v>101.01</v>
      </c>
      <c r="J1986" s="324"/>
      <c r="K1986" s="324"/>
      <c r="L1986" s="357">
        <v>13.050387596899226</v>
      </c>
      <c r="M1986" s="357">
        <v>13.05</v>
      </c>
      <c r="N1986" s="357" t="s">
        <v>135</v>
      </c>
      <c r="O1986" s="357" t="s">
        <v>135</v>
      </c>
      <c r="P1986" s="325"/>
      <c r="Q1986" s="325"/>
      <c r="R1986" s="325">
        <v>58</v>
      </c>
    </row>
    <row r="1987" spans="1:18" ht="36">
      <c r="A1987" s="321">
        <v>64.402000000000001</v>
      </c>
      <c r="B1987" s="314" t="s">
        <v>3530</v>
      </c>
      <c r="C1987" s="322" t="s">
        <v>3531</v>
      </c>
      <c r="D1987" s="323">
        <v>13.93</v>
      </c>
      <c r="E1987" s="323">
        <v>13.93</v>
      </c>
      <c r="F1987" s="323"/>
      <c r="G1987" s="323"/>
      <c r="H1987" s="324">
        <v>181.82</v>
      </c>
      <c r="I1987" s="324">
        <v>181.82</v>
      </c>
      <c r="J1987" s="324"/>
      <c r="K1987" s="324"/>
      <c r="L1987" s="357">
        <v>13.05240488155061</v>
      </c>
      <c r="M1987" s="357">
        <v>13.05</v>
      </c>
      <c r="N1987" s="357" t="s">
        <v>135</v>
      </c>
      <c r="O1987" s="357" t="s">
        <v>135</v>
      </c>
      <c r="P1987" s="325"/>
      <c r="Q1987" s="325"/>
      <c r="R1987" s="325">
        <v>58</v>
      </c>
    </row>
    <row r="1988" spans="1:18" ht="36">
      <c r="A1988" s="321">
        <v>64.403000000000006</v>
      </c>
      <c r="B1988" s="314" t="s">
        <v>3532</v>
      </c>
      <c r="C1988" s="322" t="s">
        <v>3533</v>
      </c>
      <c r="D1988" s="323">
        <v>19.809999999999999</v>
      </c>
      <c r="E1988" s="323">
        <v>19.809999999999999</v>
      </c>
      <c r="F1988" s="323"/>
      <c r="G1988" s="323"/>
      <c r="H1988" s="324">
        <v>258.58999999999997</v>
      </c>
      <c r="I1988" s="324">
        <v>258.58999999999997</v>
      </c>
      <c r="J1988" s="324"/>
      <c r="K1988" s="324"/>
      <c r="L1988" s="357">
        <v>13.053508329126704</v>
      </c>
      <c r="M1988" s="357">
        <v>13.05</v>
      </c>
      <c r="N1988" s="357" t="s">
        <v>135</v>
      </c>
      <c r="O1988" s="357" t="s">
        <v>135</v>
      </c>
      <c r="P1988" s="325"/>
      <c r="Q1988" s="325"/>
      <c r="R1988" s="325">
        <v>58</v>
      </c>
    </row>
    <row r="1989" spans="1:18" ht="24">
      <c r="A1989" s="326">
        <v>64.403999999999996</v>
      </c>
      <c r="B1989" s="327" t="s">
        <v>3534</v>
      </c>
      <c r="C1989" s="328" t="s">
        <v>3535</v>
      </c>
      <c r="D1989" s="329">
        <v>19</v>
      </c>
      <c r="E1989" s="329">
        <v>18.27</v>
      </c>
      <c r="F1989" s="329">
        <v>0.73</v>
      </c>
      <c r="G1989" s="329"/>
      <c r="H1989" s="330">
        <v>243.94</v>
      </c>
      <c r="I1989" s="330">
        <v>238.38</v>
      </c>
      <c r="J1989" s="330">
        <v>5.56</v>
      </c>
      <c r="K1989" s="330"/>
      <c r="L1989" s="356">
        <v>12.838947368421053</v>
      </c>
      <c r="M1989" s="356">
        <v>13.05</v>
      </c>
      <c r="N1989" s="356">
        <v>7.6164383561643829</v>
      </c>
      <c r="O1989" s="356" t="s">
        <v>135</v>
      </c>
      <c r="P1989" s="331"/>
      <c r="Q1989" s="331"/>
      <c r="R1989" s="331">
        <v>58</v>
      </c>
    </row>
    <row r="1990" spans="1:18" ht="12.75">
      <c r="A1990" s="428" t="s">
        <v>3536</v>
      </c>
      <c r="B1990" s="429"/>
      <c r="C1990" s="429"/>
      <c r="D1990" s="429"/>
      <c r="E1990" s="429"/>
      <c r="F1990" s="429"/>
      <c r="G1990" s="429"/>
      <c r="H1990" s="429"/>
      <c r="I1990" s="429"/>
      <c r="J1990" s="429"/>
      <c r="K1990" s="429"/>
      <c r="L1990" s="429"/>
      <c r="M1990" s="429"/>
      <c r="N1990" s="429"/>
      <c r="O1990" s="429"/>
      <c r="P1990" s="429"/>
      <c r="Q1990" s="429"/>
      <c r="R1990" s="429"/>
    </row>
    <row r="1991" spans="1:18" ht="24">
      <c r="A1991" s="321">
        <v>64.405000000000001</v>
      </c>
      <c r="B1991" s="314" t="s">
        <v>3537</v>
      </c>
      <c r="C1991" s="322" t="s">
        <v>3538</v>
      </c>
      <c r="D1991" s="323">
        <v>234.26</v>
      </c>
      <c r="E1991" s="323">
        <v>48.19</v>
      </c>
      <c r="F1991" s="323">
        <v>2.2000000000000002</v>
      </c>
      <c r="G1991" s="323">
        <v>183.87</v>
      </c>
      <c r="H1991" s="324">
        <v>1753.41</v>
      </c>
      <c r="I1991" s="324">
        <v>628.96</v>
      </c>
      <c r="J1991" s="324">
        <v>16.670000000000002</v>
      </c>
      <c r="K1991" s="324">
        <v>1107.78</v>
      </c>
      <c r="L1991" s="357">
        <v>7.4848885853325369</v>
      </c>
      <c r="M1991" s="357">
        <v>13.05</v>
      </c>
      <c r="N1991" s="357">
        <v>7.5772727272727272</v>
      </c>
      <c r="O1991" s="357">
        <v>6.0248001305270025</v>
      </c>
      <c r="P1991" s="325"/>
      <c r="Q1991" s="325"/>
      <c r="R1991" s="325">
        <v>59</v>
      </c>
    </row>
    <row r="1992" spans="1:18" ht="24">
      <c r="A1992" s="321">
        <v>64.406000000000006</v>
      </c>
      <c r="B1992" s="314" t="s">
        <v>3539</v>
      </c>
      <c r="C1992" s="322" t="s">
        <v>3540</v>
      </c>
      <c r="D1992" s="323">
        <v>154.75</v>
      </c>
      <c r="E1992" s="323">
        <v>38.39</v>
      </c>
      <c r="F1992" s="323">
        <v>1.46</v>
      </c>
      <c r="G1992" s="323">
        <v>114.9</v>
      </c>
      <c r="H1992" s="324">
        <v>1315.3</v>
      </c>
      <c r="I1992" s="324">
        <v>501.01</v>
      </c>
      <c r="J1992" s="324">
        <v>11.12</v>
      </c>
      <c r="K1992" s="324">
        <v>803.17</v>
      </c>
      <c r="L1992" s="357">
        <v>8.4995153473344107</v>
      </c>
      <c r="M1992" s="357">
        <v>13.05</v>
      </c>
      <c r="N1992" s="357">
        <v>7.6164383561643829</v>
      </c>
      <c r="O1992" s="357">
        <v>6.990165361183637</v>
      </c>
      <c r="P1992" s="325"/>
      <c r="Q1992" s="325"/>
      <c r="R1992" s="325">
        <v>59</v>
      </c>
    </row>
    <row r="1993" spans="1:18" ht="24">
      <c r="A1993" s="321">
        <v>64.406999999999996</v>
      </c>
      <c r="B1993" s="314" t="s">
        <v>3541</v>
      </c>
      <c r="C1993" s="322" t="s">
        <v>3542</v>
      </c>
      <c r="D1993" s="323">
        <v>13</v>
      </c>
      <c r="E1993" s="323">
        <v>13</v>
      </c>
      <c r="F1993" s="323"/>
      <c r="G1993" s="323"/>
      <c r="H1993" s="324">
        <v>169.7</v>
      </c>
      <c r="I1993" s="324">
        <v>169.7</v>
      </c>
      <c r="J1993" s="324"/>
      <c r="K1993" s="324"/>
      <c r="L1993" s="357">
        <v>13.053846153846154</v>
      </c>
      <c r="M1993" s="357">
        <v>13.05</v>
      </c>
      <c r="N1993" s="357" t="s">
        <v>135</v>
      </c>
      <c r="O1993" s="357" t="s">
        <v>135</v>
      </c>
      <c r="P1993" s="325"/>
      <c r="Q1993" s="325"/>
      <c r="R1993" s="325">
        <v>59</v>
      </c>
    </row>
    <row r="1994" spans="1:18" ht="24">
      <c r="A1994" s="321">
        <v>64.408000000000001</v>
      </c>
      <c r="B1994" s="314" t="s">
        <v>3543</v>
      </c>
      <c r="C1994" s="322" t="s">
        <v>3544</v>
      </c>
      <c r="D1994" s="323">
        <v>28.79</v>
      </c>
      <c r="E1994" s="323">
        <v>28.79</v>
      </c>
      <c r="F1994" s="323"/>
      <c r="G1994" s="323"/>
      <c r="H1994" s="324">
        <v>375.76</v>
      </c>
      <c r="I1994" s="324">
        <v>375.76</v>
      </c>
      <c r="J1994" s="324"/>
      <c r="K1994" s="324"/>
      <c r="L1994" s="357">
        <v>13.051754081278222</v>
      </c>
      <c r="M1994" s="357">
        <v>13.05</v>
      </c>
      <c r="N1994" s="357" t="s">
        <v>135</v>
      </c>
      <c r="O1994" s="357" t="s">
        <v>135</v>
      </c>
      <c r="P1994" s="325"/>
      <c r="Q1994" s="325"/>
      <c r="R1994" s="325">
        <v>59</v>
      </c>
    </row>
    <row r="1995" spans="1:18" ht="36">
      <c r="A1995" s="321">
        <v>64.409000000000006</v>
      </c>
      <c r="B1995" s="314" t="s">
        <v>3545</v>
      </c>
      <c r="C1995" s="322" t="s">
        <v>3546</v>
      </c>
      <c r="D1995" s="323">
        <v>21.88</v>
      </c>
      <c r="E1995" s="323">
        <v>21.88</v>
      </c>
      <c r="F1995" s="323"/>
      <c r="G1995" s="323"/>
      <c r="H1995" s="324">
        <v>285.52</v>
      </c>
      <c r="I1995" s="324">
        <v>285.52</v>
      </c>
      <c r="J1995" s="324"/>
      <c r="K1995" s="324"/>
      <c r="L1995" s="357">
        <v>13.049360146252285</v>
      </c>
      <c r="M1995" s="357">
        <v>13.05</v>
      </c>
      <c r="N1995" s="357" t="s">
        <v>135</v>
      </c>
      <c r="O1995" s="357" t="s">
        <v>135</v>
      </c>
      <c r="P1995" s="325"/>
      <c r="Q1995" s="325"/>
      <c r="R1995" s="325">
        <v>59</v>
      </c>
    </row>
    <row r="1996" spans="1:18" ht="36">
      <c r="A1996" s="321">
        <v>64.41</v>
      </c>
      <c r="B1996" s="314" t="s">
        <v>3547</v>
      </c>
      <c r="C1996" s="322" t="s">
        <v>3548</v>
      </c>
      <c r="D1996" s="323">
        <v>31.58</v>
      </c>
      <c r="E1996" s="323">
        <v>31.58</v>
      </c>
      <c r="F1996" s="323"/>
      <c r="G1996" s="323"/>
      <c r="H1996" s="324">
        <v>412.12</v>
      </c>
      <c r="I1996" s="324">
        <v>412.12</v>
      </c>
      <c r="J1996" s="324"/>
      <c r="K1996" s="324"/>
      <c r="L1996" s="357">
        <v>13.050031665611147</v>
      </c>
      <c r="M1996" s="357">
        <v>13.05</v>
      </c>
      <c r="N1996" s="357" t="s">
        <v>135</v>
      </c>
      <c r="O1996" s="357" t="s">
        <v>135</v>
      </c>
      <c r="P1996" s="325"/>
      <c r="Q1996" s="325"/>
      <c r="R1996" s="325">
        <v>59</v>
      </c>
    </row>
    <row r="1997" spans="1:18" ht="24">
      <c r="A1997" s="326">
        <v>64.411000000000001</v>
      </c>
      <c r="B1997" s="327" t="s">
        <v>3549</v>
      </c>
      <c r="C1997" s="328" t="s">
        <v>3550</v>
      </c>
      <c r="D1997" s="329">
        <v>29.17</v>
      </c>
      <c r="E1997" s="329">
        <v>28.07</v>
      </c>
      <c r="F1997" s="329">
        <v>1.1000000000000001</v>
      </c>
      <c r="G1997" s="329"/>
      <c r="H1997" s="330">
        <v>374.67</v>
      </c>
      <c r="I1997" s="330">
        <v>366.33</v>
      </c>
      <c r="J1997" s="330">
        <v>8.34</v>
      </c>
      <c r="K1997" s="330"/>
      <c r="L1997" s="356">
        <v>12.844360644497771</v>
      </c>
      <c r="M1997" s="356">
        <v>13.05</v>
      </c>
      <c r="N1997" s="356">
        <v>7.5818181818181811</v>
      </c>
      <c r="O1997" s="356" t="s">
        <v>135</v>
      </c>
      <c r="P1997" s="331"/>
      <c r="Q1997" s="331"/>
      <c r="R1997" s="331">
        <v>59</v>
      </c>
    </row>
    <row r="1998" spans="1:18" ht="12.75">
      <c r="A1998" s="428" t="s">
        <v>3551</v>
      </c>
      <c r="B1998" s="429"/>
      <c r="C1998" s="429"/>
      <c r="D1998" s="429"/>
      <c r="E1998" s="429"/>
      <c r="F1998" s="429"/>
      <c r="G1998" s="429"/>
      <c r="H1998" s="429"/>
      <c r="I1998" s="429"/>
      <c r="J1998" s="429"/>
      <c r="K1998" s="429"/>
      <c r="L1998" s="429"/>
      <c r="M1998" s="429"/>
      <c r="N1998" s="429"/>
      <c r="O1998" s="429"/>
      <c r="P1998" s="429"/>
      <c r="Q1998" s="429"/>
      <c r="R1998" s="429"/>
    </row>
    <row r="1999" spans="1:18" ht="24">
      <c r="A1999" s="321">
        <v>64.412000000000006</v>
      </c>
      <c r="B1999" s="314" t="s">
        <v>3552</v>
      </c>
      <c r="C1999" s="322" t="s">
        <v>3553</v>
      </c>
      <c r="D1999" s="323">
        <v>250.83</v>
      </c>
      <c r="E1999" s="323">
        <v>64.39</v>
      </c>
      <c r="F1999" s="323">
        <v>2.56</v>
      </c>
      <c r="G1999" s="323">
        <v>183.88</v>
      </c>
      <c r="H1999" s="324">
        <v>1963.39</v>
      </c>
      <c r="I1999" s="324">
        <v>840.27</v>
      </c>
      <c r="J1999" s="324">
        <v>19.45</v>
      </c>
      <c r="K1999" s="324">
        <v>1103.67</v>
      </c>
      <c r="L1999" s="357">
        <v>7.8275724594346769</v>
      </c>
      <c r="M1999" s="357">
        <v>13.05</v>
      </c>
      <c r="N1999" s="357">
        <v>7.59765625</v>
      </c>
      <c r="O1999" s="357">
        <v>6.0021209484446381</v>
      </c>
      <c r="P1999" s="325"/>
      <c r="Q1999" s="325"/>
      <c r="R1999" s="325">
        <v>60</v>
      </c>
    </row>
    <row r="2000" spans="1:18" ht="24">
      <c r="A2000" s="321">
        <v>64.412999999999997</v>
      </c>
      <c r="B2000" s="314" t="s">
        <v>3554</v>
      </c>
      <c r="C2000" s="322" t="s">
        <v>3555</v>
      </c>
      <c r="D2000" s="323">
        <v>167.52</v>
      </c>
      <c r="E2000" s="323">
        <v>51.16</v>
      </c>
      <c r="F2000" s="323">
        <v>1.46</v>
      </c>
      <c r="G2000" s="323">
        <v>114.9</v>
      </c>
      <c r="H2000" s="324">
        <v>1476.93</v>
      </c>
      <c r="I2000" s="324">
        <v>667.69</v>
      </c>
      <c r="J2000" s="324">
        <v>11.12</v>
      </c>
      <c r="K2000" s="324">
        <v>798.12</v>
      </c>
      <c r="L2000" s="357">
        <v>8.8164398280802292</v>
      </c>
      <c r="M2000" s="357">
        <v>13.05</v>
      </c>
      <c r="N2000" s="357">
        <v>7.6164383561643829</v>
      </c>
      <c r="O2000" s="357">
        <v>6.9462140992167098</v>
      </c>
      <c r="P2000" s="325"/>
      <c r="Q2000" s="325"/>
      <c r="R2000" s="325">
        <v>60</v>
      </c>
    </row>
    <row r="2001" spans="1:18" ht="24">
      <c r="A2001" s="321">
        <v>64.414000000000001</v>
      </c>
      <c r="B2001" s="314" t="s">
        <v>3556</v>
      </c>
      <c r="C2001" s="322" t="s">
        <v>3557</v>
      </c>
      <c r="D2001" s="323">
        <v>2.58</v>
      </c>
      <c r="E2001" s="323">
        <v>2.58</v>
      </c>
      <c r="F2001" s="323"/>
      <c r="G2001" s="323"/>
      <c r="H2001" s="324">
        <v>33.67</v>
      </c>
      <c r="I2001" s="324">
        <v>33.67</v>
      </c>
      <c r="J2001" s="324"/>
      <c r="K2001" s="324"/>
      <c r="L2001" s="357">
        <v>13.050387596899226</v>
      </c>
      <c r="M2001" s="357">
        <v>13.05</v>
      </c>
      <c r="N2001" s="357" t="s">
        <v>135</v>
      </c>
      <c r="O2001" s="357" t="s">
        <v>135</v>
      </c>
      <c r="P2001" s="325"/>
      <c r="Q2001" s="325"/>
      <c r="R2001" s="325">
        <v>60</v>
      </c>
    </row>
    <row r="2002" spans="1:18" ht="24">
      <c r="A2002" s="321">
        <v>64.415000000000006</v>
      </c>
      <c r="B2002" s="314" t="s">
        <v>3558</v>
      </c>
      <c r="C2002" s="322" t="s">
        <v>3559</v>
      </c>
      <c r="D2002" s="323">
        <v>10.42</v>
      </c>
      <c r="E2002" s="323">
        <v>10.42</v>
      </c>
      <c r="F2002" s="323"/>
      <c r="G2002" s="323"/>
      <c r="H2002" s="324">
        <v>136.03</v>
      </c>
      <c r="I2002" s="324">
        <v>136.03</v>
      </c>
      <c r="J2002" s="324"/>
      <c r="K2002" s="324"/>
      <c r="L2002" s="357">
        <v>13.054702495201536</v>
      </c>
      <c r="M2002" s="357">
        <v>13.05</v>
      </c>
      <c r="N2002" s="357" t="s">
        <v>135</v>
      </c>
      <c r="O2002" s="357" t="s">
        <v>135</v>
      </c>
      <c r="P2002" s="325"/>
      <c r="Q2002" s="325"/>
      <c r="R2002" s="325">
        <v>60</v>
      </c>
    </row>
    <row r="2003" spans="1:18" ht="36">
      <c r="A2003" s="321">
        <v>64.415999999999997</v>
      </c>
      <c r="B2003" s="314" t="s">
        <v>3560</v>
      </c>
      <c r="C2003" s="322" t="s">
        <v>3561</v>
      </c>
      <c r="D2003" s="323">
        <v>18.16</v>
      </c>
      <c r="E2003" s="323">
        <v>18.16</v>
      </c>
      <c r="F2003" s="323"/>
      <c r="G2003" s="323"/>
      <c r="H2003" s="324">
        <v>237.04</v>
      </c>
      <c r="I2003" s="324">
        <v>237.04</v>
      </c>
      <c r="J2003" s="324"/>
      <c r="K2003" s="324"/>
      <c r="L2003" s="357">
        <v>13.052863436123348</v>
      </c>
      <c r="M2003" s="357">
        <v>13.05</v>
      </c>
      <c r="N2003" s="357" t="s">
        <v>135</v>
      </c>
      <c r="O2003" s="357" t="s">
        <v>135</v>
      </c>
      <c r="P2003" s="325"/>
      <c r="Q2003" s="325"/>
      <c r="R2003" s="325">
        <v>60</v>
      </c>
    </row>
    <row r="2004" spans="1:18" ht="36">
      <c r="A2004" s="321">
        <v>64.417000000000002</v>
      </c>
      <c r="B2004" s="314" t="s">
        <v>3562</v>
      </c>
      <c r="C2004" s="322" t="s">
        <v>3563</v>
      </c>
      <c r="D2004" s="323">
        <v>25.9</v>
      </c>
      <c r="E2004" s="323">
        <v>25.9</v>
      </c>
      <c r="F2004" s="323"/>
      <c r="G2004" s="323"/>
      <c r="H2004" s="324">
        <v>338.05</v>
      </c>
      <c r="I2004" s="324">
        <v>338.05</v>
      </c>
      <c r="J2004" s="324"/>
      <c r="K2004" s="324"/>
      <c r="L2004" s="357">
        <v>13.052123552123554</v>
      </c>
      <c r="M2004" s="357">
        <v>13.05</v>
      </c>
      <c r="N2004" s="357" t="s">
        <v>135</v>
      </c>
      <c r="O2004" s="357" t="s">
        <v>135</v>
      </c>
      <c r="P2004" s="325"/>
      <c r="Q2004" s="325"/>
      <c r="R2004" s="325">
        <v>60</v>
      </c>
    </row>
    <row r="2005" spans="1:18" ht="24">
      <c r="A2005" s="326">
        <v>64.418000000000006</v>
      </c>
      <c r="B2005" s="327" t="s">
        <v>3564</v>
      </c>
      <c r="C2005" s="328" t="s">
        <v>3565</v>
      </c>
      <c r="D2005" s="329">
        <v>26.18</v>
      </c>
      <c r="E2005" s="329">
        <v>25.08</v>
      </c>
      <c r="F2005" s="329">
        <v>1.1000000000000001</v>
      </c>
      <c r="G2005" s="329"/>
      <c r="H2005" s="330">
        <v>335.61</v>
      </c>
      <c r="I2005" s="330">
        <v>327.27</v>
      </c>
      <c r="J2005" s="330">
        <v>8.34</v>
      </c>
      <c r="K2005" s="330"/>
      <c r="L2005" s="356">
        <v>12.819327731092438</v>
      </c>
      <c r="M2005" s="356">
        <v>13.05</v>
      </c>
      <c r="N2005" s="356">
        <v>7.5818181818181811</v>
      </c>
      <c r="O2005" s="356" t="s">
        <v>135</v>
      </c>
      <c r="P2005" s="331"/>
      <c r="Q2005" s="331"/>
      <c r="R2005" s="331">
        <v>60</v>
      </c>
    </row>
    <row r="2006" spans="1:18" ht="12.75">
      <c r="A2006" s="428" t="s">
        <v>3566</v>
      </c>
      <c r="B2006" s="429"/>
      <c r="C2006" s="429"/>
      <c r="D2006" s="429"/>
      <c r="E2006" s="429"/>
      <c r="F2006" s="429"/>
      <c r="G2006" s="429"/>
      <c r="H2006" s="429"/>
      <c r="I2006" s="429"/>
      <c r="J2006" s="429"/>
      <c r="K2006" s="429"/>
      <c r="L2006" s="429"/>
      <c r="M2006" s="429"/>
      <c r="N2006" s="429"/>
      <c r="O2006" s="429"/>
      <c r="P2006" s="429"/>
      <c r="Q2006" s="429"/>
      <c r="R2006" s="429"/>
    </row>
    <row r="2007" spans="1:18" ht="24">
      <c r="A2007" s="321">
        <v>64.418999999999997</v>
      </c>
      <c r="B2007" s="314" t="s">
        <v>3567</v>
      </c>
      <c r="C2007" s="322" t="s">
        <v>3568</v>
      </c>
      <c r="D2007" s="323">
        <v>350.34</v>
      </c>
      <c r="E2007" s="323">
        <v>71.98</v>
      </c>
      <c r="F2007" s="323">
        <v>4.03</v>
      </c>
      <c r="G2007" s="323">
        <v>274.33</v>
      </c>
      <c r="H2007" s="324">
        <v>2616.7199999999998</v>
      </c>
      <c r="I2007" s="324">
        <v>939.29</v>
      </c>
      <c r="J2007" s="324">
        <v>30.57</v>
      </c>
      <c r="K2007" s="324">
        <v>1646.86</v>
      </c>
      <c r="L2007" s="357">
        <v>7.4690871724610375</v>
      </c>
      <c r="M2007" s="357">
        <v>13.05</v>
      </c>
      <c r="N2007" s="357">
        <v>7.5856079404466499</v>
      </c>
      <c r="O2007" s="357">
        <v>6.0032078154048047</v>
      </c>
      <c r="P2007" s="325"/>
      <c r="Q2007" s="325"/>
      <c r="R2007" s="325">
        <v>61</v>
      </c>
    </row>
    <row r="2008" spans="1:18" ht="24">
      <c r="A2008" s="321">
        <v>64.42</v>
      </c>
      <c r="B2008" s="314" t="s">
        <v>3569</v>
      </c>
      <c r="C2008" s="322" t="s">
        <v>3570</v>
      </c>
      <c r="D2008" s="323">
        <v>232.32</v>
      </c>
      <c r="E2008" s="323">
        <v>58.64</v>
      </c>
      <c r="F2008" s="323">
        <v>2.2000000000000002</v>
      </c>
      <c r="G2008" s="323">
        <v>171.48</v>
      </c>
      <c r="H2008" s="324">
        <v>1972.29</v>
      </c>
      <c r="I2008" s="324">
        <v>765.3</v>
      </c>
      <c r="J2008" s="324">
        <v>16.670000000000002</v>
      </c>
      <c r="K2008" s="324">
        <v>1190.32</v>
      </c>
      <c r="L2008" s="357">
        <v>8.4895402892561993</v>
      </c>
      <c r="M2008" s="357">
        <v>13.05</v>
      </c>
      <c r="N2008" s="357">
        <v>7.5772727272727272</v>
      </c>
      <c r="O2008" s="357">
        <v>6.9414508980639145</v>
      </c>
      <c r="P2008" s="325"/>
      <c r="Q2008" s="325"/>
      <c r="R2008" s="325">
        <v>61</v>
      </c>
    </row>
    <row r="2009" spans="1:18" ht="24">
      <c r="A2009" s="321">
        <v>64.421000000000006</v>
      </c>
      <c r="B2009" s="314" t="s">
        <v>3571</v>
      </c>
      <c r="C2009" s="322" t="s">
        <v>3572</v>
      </c>
      <c r="D2009" s="323">
        <v>3.82</v>
      </c>
      <c r="E2009" s="323">
        <v>3.82</v>
      </c>
      <c r="F2009" s="323"/>
      <c r="G2009" s="323"/>
      <c r="H2009" s="324">
        <v>49.83</v>
      </c>
      <c r="I2009" s="324">
        <v>49.83</v>
      </c>
      <c r="J2009" s="324"/>
      <c r="K2009" s="324"/>
      <c r="L2009" s="357">
        <v>13.044502617801047</v>
      </c>
      <c r="M2009" s="357">
        <v>13.05</v>
      </c>
      <c r="N2009" s="357" t="s">
        <v>135</v>
      </c>
      <c r="O2009" s="357" t="s">
        <v>135</v>
      </c>
      <c r="P2009" s="325"/>
      <c r="Q2009" s="325"/>
      <c r="R2009" s="325">
        <v>61</v>
      </c>
    </row>
    <row r="2010" spans="1:18" ht="24">
      <c r="A2010" s="321">
        <v>64.421999999999997</v>
      </c>
      <c r="B2010" s="314" t="s">
        <v>3573</v>
      </c>
      <c r="C2010" s="322" t="s">
        <v>3574</v>
      </c>
      <c r="D2010" s="323">
        <v>15.58</v>
      </c>
      <c r="E2010" s="323">
        <v>15.58</v>
      </c>
      <c r="F2010" s="323"/>
      <c r="G2010" s="323"/>
      <c r="H2010" s="324">
        <v>203.37</v>
      </c>
      <c r="I2010" s="324">
        <v>203.37</v>
      </c>
      <c r="J2010" s="324"/>
      <c r="K2010" s="324"/>
      <c r="L2010" s="357">
        <v>13.053273427471117</v>
      </c>
      <c r="M2010" s="357">
        <v>13.05</v>
      </c>
      <c r="N2010" s="357" t="s">
        <v>135</v>
      </c>
      <c r="O2010" s="357" t="s">
        <v>135</v>
      </c>
      <c r="P2010" s="325"/>
      <c r="Q2010" s="325"/>
      <c r="R2010" s="325">
        <v>61</v>
      </c>
    </row>
    <row r="2011" spans="1:18" ht="36">
      <c r="A2011" s="321">
        <v>64.423000000000002</v>
      </c>
      <c r="B2011" s="314" t="s">
        <v>3575</v>
      </c>
      <c r="C2011" s="322" t="s">
        <v>3576</v>
      </c>
      <c r="D2011" s="323">
        <v>68.52</v>
      </c>
      <c r="E2011" s="323">
        <v>68.52</v>
      </c>
      <c r="F2011" s="323"/>
      <c r="G2011" s="323"/>
      <c r="H2011" s="324">
        <v>894.28</v>
      </c>
      <c r="I2011" s="324">
        <v>894.28</v>
      </c>
      <c r="J2011" s="324"/>
      <c r="K2011" s="324"/>
      <c r="L2011" s="357">
        <v>13.051371862230006</v>
      </c>
      <c r="M2011" s="357">
        <v>13.05</v>
      </c>
      <c r="N2011" s="357" t="s">
        <v>135</v>
      </c>
      <c r="O2011" s="357" t="s">
        <v>135</v>
      </c>
      <c r="P2011" s="325"/>
      <c r="Q2011" s="325"/>
      <c r="R2011" s="325">
        <v>61</v>
      </c>
    </row>
    <row r="2012" spans="1:18" ht="36">
      <c r="A2012" s="321">
        <v>64.424000000000007</v>
      </c>
      <c r="B2012" s="314" t="s">
        <v>3577</v>
      </c>
      <c r="C2012" s="322" t="s">
        <v>3578</v>
      </c>
      <c r="D2012" s="323">
        <v>38.909999999999997</v>
      </c>
      <c r="E2012" s="323">
        <v>38.909999999999997</v>
      </c>
      <c r="F2012" s="323"/>
      <c r="G2012" s="323"/>
      <c r="H2012" s="324">
        <v>507.74</v>
      </c>
      <c r="I2012" s="324">
        <v>507.74</v>
      </c>
      <c r="J2012" s="324"/>
      <c r="K2012" s="324"/>
      <c r="L2012" s="357">
        <v>13.049087638139298</v>
      </c>
      <c r="M2012" s="357">
        <v>13.05</v>
      </c>
      <c r="N2012" s="357" t="s">
        <v>135</v>
      </c>
      <c r="O2012" s="357" t="s">
        <v>135</v>
      </c>
      <c r="P2012" s="325"/>
      <c r="Q2012" s="325"/>
      <c r="R2012" s="325">
        <v>61</v>
      </c>
    </row>
    <row r="2013" spans="1:18" ht="24">
      <c r="A2013" s="326">
        <v>64.424999999999997</v>
      </c>
      <c r="B2013" s="327" t="s">
        <v>3579</v>
      </c>
      <c r="C2013" s="328" t="s">
        <v>3580</v>
      </c>
      <c r="D2013" s="329">
        <v>38.1</v>
      </c>
      <c r="E2013" s="329">
        <v>36.64</v>
      </c>
      <c r="F2013" s="329">
        <v>1.46</v>
      </c>
      <c r="G2013" s="329"/>
      <c r="H2013" s="330">
        <v>489.23</v>
      </c>
      <c r="I2013" s="330">
        <v>478.11</v>
      </c>
      <c r="J2013" s="330">
        <v>11.12</v>
      </c>
      <c r="K2013" s="330"/>
      <c r="L2013" s="356">
        <v>12.840682414698163</v>
      </c>
      <c r="M2013" s="356">
        <v>13.05</v>
      </c>
      <c r="N2013" s="356">
        <v>7.6164383561643829</v>
      </c>
      <c r="O2013" s="356" t="s">
        <v>135</v>
      </c>
      <c r="P2013" s="331"/>
      <c r="Q2013" s="331"/>
      <c r="R2013" s="331">
        <v>61</v>
      </c>
    </row>
    <row r="2014" spans="1:18" ht="12.75">
      <c r="A2014" s="428" t="s">
        <v>3581</v>
      </c>
      <c r="B2014" s="429"/>
      <c r="C2014" s="429"/>
      <c r="D2014" s="429"/>
      <c r="E2014" s="429"/>
      <c r="F2014" s="429"/>
      <c r="G2014" s="429"/>
      <c r="H2014" s="429"/>
      <c r="I2014" s="429"/>
      <c r="J2014" s="429"/>
      <c r="K2014" s="429"/>
      <c r="L2014" s="429"/>
      <c r="M2014" s="429"/>
      <c r="N2014" s="429"/>
      <c r="O2014" s="429"/>
      <c r="P2014" s="429"/>
      <c r="Q2014" s="429"/>
      <c r="R2014" s="429"/>
    </row>
    <row r="2015" spans="1:18" ht="24">
      <c r="A2015" s="321">
        <v>64.426000000000002</v>
      </c>
      <c r="B2015" s="314" t="s">
        <v>3582</v>
      </c>
      <c r="C2015" s="322" t="s">
        <v>3583</v>
      </c>
      <c r="D2015" s="323">
        <v>469.44</v>
      </c>
      <c r="E2015" s="323">
        <v>94.42</v>
      </c>
      <c r="F2015" s="323">
        <v>5.49</v>
      </c>
      <c r="G2015" s="323">
        <v>369.53</v>
      </c>
      <c r="H2015" s="324">
        <v>3492.68</v>
      </c>
      <c r="I2015" s="324">
        <v>1232.1199999999999</v>
      </c>
      <c r="J2015" s="324">
        <v>41.69</v>
      </c>
      <c r="K2015" s="324">
        <v>2218.87</v>
      </c>
      <c r="L2015" s="357">
        <v>7.4400988411724605</v>
      </c>
      <c r="M2015" s="357">
        <v>13.05</v>
      </c>
      <c r="N2015" s="357">
        <v>7.5938069216757738</v>
      </c>
      <c r="O2015" s="357">
        <v>6.0045733769923961</v>
      </c>
      <c r="P2015" s="325"/>
      <c r="Q2015" s="325"/>
      <c r="R2015" s="325">
        <v>62</v>
      </c>
    </row>
    <row r="2016" spans="1:18" ht="24">
      <c r="A2016" s="321">
        <v>64.427000000000007</v>
      </c>
      <c r="B2016" s="314" t="s">
        <v>3584</v>
      </c>
      <c r="C2016" s="322" t="s">
        <v>3585</v>
      </c>
      <c r="D2016" s="323">
        <v>299.82</v>
      </c>
      <c r="E2016" s="323">
        <v>68.180000000000007</v>
      </c>
      <c r="F2016" s="323">
        <v>2.93</v>
      </c>
      <c r="G2016" s="323">
        <v>228.71</v>
      </c>
      <c r="H2016" s="324">
        <v>2503.77</v>
      </c>
      <c r="I2016" s="324">
        <v>889.78</v>
      </c>
      <c r="J2016" s="324">
        <v>22.23</v>
      </c>
      <c r="K2016" s="324">
        <v>1591.76</v>
      </c>
      <c r="L2016" s="357">
        <v>8.3509105463277962</v>
      </c>
      <c r="M2016" s="357">
        <v>13.05</v>
      </c>
      <c r="N2016" s="357">
        <v>7.5870307167235493</v>
      </c>
      <c r="O2016" s="357">
        <v>6.9597306632853826</v>
      </c>
      <c r="P2016" s="325"/>
      <c r="Q2016" s="325"/>
      <c r="R2016" s="325">
        <v>62</v>
      </c>
    </row>
    <row r="2017" spans="1:18" ht="24">
      <c r="A2017" s="321">
        <v>64.427999999999997</v>
      </c>
      <c r="B2017" s="314" t="s">
        <v>3586</v>
      </c>
      <c r="C2017" s="322" t="s">
        <v>3587</v>
      </c>
      <c r="D2017" s="323">
        <v>5.0599999999999996</v>
      </c>
      <c r="E2017" s="323">
        <v>5.0599999999999996</v>
      </c>
      <c r="F2017" s="323"/>
      <c r="G2017" s="323"/>
      <c r="H2017" s="324">
        <v>65.989999999999995</v>
      </c>
      <c r="I2017" s="324">
        <v>65.989999999999995</v>
      </c>
      <c r="J2017" s="324"/>
      <c r="K2017" s="324"/>
      <c r="L2017" s="357">
        <v>13.041501976284586</v>
      </c>
      <c r="M2017" s="357">
        <v>13.05</v>
      </c>
      <c r="N2017" s="357" t="s">
        <v>135</v>
      </c>
      <c r="O2017" s="357" t="s">
        <v>135</v>
      </c>
      <c r="P2017" s="325"/>
      <c r="Q2017" s="325"/>
      <c r="R2017" s="325">
        <v>62</v>
      </c>
    </row>
    <row r="2018" spans="1:18" ht="24">
      <c r="A2018" s="321">
        <v>64.429000000000002</v>
      </c>
      <c r="B2018" s="314" t="s">
        <v>3588</v>
      </c>
      <c r="C2018" s="322" t="s">
        <v>3589</v>
      </c>
      <c r="D2018" s="323">
        <v>20.54</v>
      </c>
      <c r="E2018" s="323">
        <v>20.54</v>
      </c>
      <c r="F2018" s="323"/>
      <c r="G2018" s="323"/>
      <c r="H2018" s="324">
        <v>268.01</v>
      </c>
      <c r="I2018" s="324">
        <v>268.01</v>
      </c>
      <c r="J2018" s="324"/>
      <c r="K2018" s="324"/>
      <c r="L2018" s="357">
        <v>13.048198636806232</v>
      </c>
      <c r="M2018" s="357">
        <v>13.05</v>
      </c>
      <c r="N2018" s="357" t="s">
        <v>135</v>
      </c>
      <c r="O2018" s="357" t="s">
        <v>135</v>
      </c>
      <c r="P2018" s="325"/>
      <c r="Q2018" s="325"/>
      <c r="R2018" s="325">
        <v>62</v>
      </c>
    </row>
    <row r="2019" spans="1:18" ht="36">
      <c r="A2019" s="321">
        <v>64.430000000000007</v>
      </c>
      <c r="B2019" s="314" t="s">
        <v>3590</v>
      </c>
      <c r="C2019" s="322" t="s">
        <v>3591</v>
      </c>
      <c r="D2019" s="323">
        <v>36.53</v>
      </c>
      <c r="E2019" s="323">
        <v>36.53</v>
      </c>
      <c r="F2019" s="323"/>
      <c r="G2019" s="323"/>
      <c r="H2019" s="324">
        <v>476.77</v>
      </c>
      <c r="I2019" s="324">
        <v>476.77</v>
      </c>
      <c r="J2019" s="324"/>
      <c r="K2019" s="324"/>
      <c r="L2019" s="357">
        <v>13.051464549685189</v>
      </c>
      <c r="M2019" s="357">
        <v>13.05</v>
      </c>
      <c r="N2019" s="357" t="s">
        <v>135</v>
      </c>
      <c r="O2019" s="357" t="s">
        <v>135</v>
      </c>
      <c r="P2019" s="325"/>
      <c r="Q2019" s="325"/>
      <c r="R2019" s="325">
        <v>62</v>
      </c>
    </row>
    <row r="2020" spans="1:18" ht="36">
      <c r="A2020" s="321">
        <v>64.430999999999997</v>
      </c>
      <c r="B2020" s="314" t="s">
        <v>3592</v>
      </c>
      <c r="C2020" s="322" t="s">
        <v>3593</v>
      </c>
      <c r="D2020" s="323">
        <v>51.91</v>
      </c>
      <c r="E2020" s="323">
        <v>51.91</v>
      </c>
      <c r="F2020" s="323"/>
      <c r="G2020" s="323"/>
      <c r="H2020" s="324">
        <v>677.44</v>
      </c>
      <c r="I2020" s="324">
        <v>677.44</v>
      </c>
      <c r="J2020" s="324"/>
      <c r="K2020" s="324"/>
      <c r="L2020" s="357">
        <v>13.050279329608941</v>
      </c>
      <c r="M2020" s="357">
        <v>13.05</v>
      </c>
      <c r="N2020" s="357" t="s">
        <v>135</v>
      </c>
      <c r="O2020" s="357" t="s">
        <v>135</v>
      </c>
      <c r="P2020" s="325"/>
      <c r="Q2020" s="325"/>
      <c r="R2020" s="325">
        <v>62</v>
      </c>
    </row>
    <row r="2021" spans="1:18" ht="24">
      <c r="A2021" s="321">
        <v>64.432000000000002</v>
      </c>
      <c r="B2021" s="314" t="s">
        <v>3594</v>
      </c>
      <c r="C2021" s="322" t="s">
        <v>3595</v>
      </c>
      <c r="D2021" s="323">
        <v>49.51</v>
      </c>
      <c r="E2021" s="323">
        <v>47.68</v>
      </c>
      <c r="F2021" s="323">
        <v>1.83</v>
      </c>
      <c r="G2021" s="323"/>
      <c r="H2021" s="324">
        <v>636.12</v>
      </c>
      <c r="I2021" s="324">
        <v>622.22</v>
      </c>
      <c r="J2021" s="324">
        <v>13.9</v>
      </c>
      <c r="K2021" s="324"/>
      <c r="L2021" s="357">
        <v>12.848313472025854</v>
      </c>
      <c r="M2021" s="357">
        <v>13.05</v>
      </c>
      <c r="N2021" s="357">
        <v>7.5956284153005464</v>
      </c>
      <c r="O2021" s="357" t="s">
        <v>135</v>
      </c>
      <c r="P2021" s="325"/>
      <c r="Q2021" s="325"/>
      <c r="R2021" s="325">
        <v>62</v>
      </c>
    </row>
    <row r="2022" spans="1:18" ht="12.75">
      <c r="A2022" s="312"/>
      <c r="B2022" s="318"/>
      <c r="C2022" s="317"/>
      <c r="D2022" s="319"/>
      <c r="E2022" s="319"/>
      <c r="F2022" s="319"/>
      <c r="G2022" s="319"/>
      <c r="H2022" s="320"/>
      <c r="I2022" s="320"/>
      <c r="J2022" s="320"/>
      <c r="K2022" s="320"/>
      <c r="L2022" s="355"/>
      <c r="M2022" s="355"/>
      <c r="N2022" s="355"/>
      <c r="O2022" s="354"/>
      <c r="P2022" s="311"/>
      <c r="Q2022" s="311"/>
      <c r="R2022" s="311"/>
    </row>
    <row r="2023" spans="1:18">
      <c r="A2023" s="292"/>
      <c r="B2023" s="295"/>
      <c r="C2023" s="292"/>
      <c r="D2023" s="292"/>
      <c r="E2023" s="292"/>
      <c r="F2023" s="292"/>
      <c r="G2023" s="292"/>
      <c r="H2023" s="294"/>
      <c r="I2023" s="294"/>
      <c r="J2023" s="294"/>
      <c r="K2023" s="294"/>
      <c r="O2023" s="353"/>
      <c r="P2023" s="292"/>
      <c r="Q2023" s="292"/>
      <c r="R2023" s="292"/>
    </row>
    <row r="2024" spans="1:18">
      <c r="O2024" s="353"/>
    </row>
    <row r="2025" spans="1:18">
      <c r="O2025" s="352"/>
    </row>
    <row r="2026" spans="1:18" ht="23.25">
      <c r="A2026" s="61"/>
      <c r="B2026" s="60"/>
      <c r="C2026" s="45" t="s">
        <v>3596</v>
      </c>
      <c r="D2026" s="45"/>
      <c r="E2026" s="45"/>
      <c r="F2026" s="45"/>
      <c r="G2026" s="45"/>
      <c r="H2026" s="58"/>
      <c r="I2026" s="58"/>
      <c r="J2026" s="58"/>
      <c r="K2026" s="58"/>
      <c r="L2026" s="351"/>
      <c r="M2026" s="351"/>
      <c r="N2026" s="351"/>
      <c r="O2026" s="350"/>
    </row>
    <row r="2027" spans="1:18" ht="12.75">
      <c r="A2027" s="428" t="s">
        <v>3597</v>
      </c>
      <c r="B2027" s="429"/>
      <c r="C2027" s="429"/>
      <c r="D2027" s="429"/>
      <c r="E2027" s="429"/>
      <c r="F2027" s="429"/>
      <c r="G2027" s="429"/>
      <c r="H2027" s="429"/>
      <c r="I2027" s="429"/>
      <c r="J2027" s="429"/>
      <c r="K2027" s="429"/>
      <c r="L2027" s="429"/>
      <c r="M2027" s="429"/>
      <c r="N2027" s="429"/>
      <c r="O2027" s="429"/>
      <c r="P2027" s="429"/>
      <c r="Q2027" s="429"/>
      <c r="R2027" s="429"/>
    </row>
    <row r="2028" spans="1:18" ht="12.75">
      <c r="A2028" s="426" t="s">
        <v>3598</v>
      </c>
      <c r="B2028" s="427"/>
      <c r="C2028" s="427"/>
      <c r="D2028" s="427"/>
      <c r="E2028" s="427"/>
      <c r="F2028" s="427"/>
      <c r="G2028" s="427"/>
      <c r="H2028" s="427"/>
      <c r="I2028" s="427"/>
      <c r="J2028" s="427"/>
      <c r="K2028" s="427"/>
      <c r="L2028" s="427"/>
      <c r="M2028" s="427"/>
      <c r="N2028" s="427"/>
      <c r="O2028" s="427"/>
      <c r="P2028" s="427"/>
      <c r="Q2028" s="427"/>
      <c r="R2028" s="427"/>
    </row>
    <row r="2029" spans="1:18" ht="24">
      <c r="A2029" s="339">
        <v>65.099999999999994</v>
      </c>
      <c r="B2029" s="334" t="s">
        <v>3599</v>
      </c>
      <c r="C2029" s="340" t="s">
        <v>3600</v>
      </c>
      <c r="D2029" s="341">
        <v>387.85</v>
      </c>
      <c r="E2029" s="341">
        <v>344.17</v>
      </c>
      <c r="F2029" s="341">
        <v>8.31</v>
      </c>
      <c r="G2029" s="341">
        <v>35.369999999999997</v>
      </c>
      <c r="H2029" s="342">
        <v>4926.95</v>
      </c>
      <c r="I2029" s="342">
        <v>4491.59</v>
      </c>
      <c r="J2029" s="342">
        <v>63.3</v>
      </c>
      <c r="K2029" s="342">
        <v>372.06</v>
      </c>
      <c r="L2029" s="357">
        <v>12.703235787031067</v>
      </c>
      <c r="M2029" s="357">
        <v>13.05</v>
      </c>
      <c r="N2029" s="357">
        <v>7.6173285198555947</v>
      </c>
      <c r="O2029" s="357">
        <v>10.519083969465649</v>
      </c>
      <c r="P2029" s="343"/>
      <c r="Q2029" s="343"/>
      <c r="R2029" s="343">
        <v>1</v>
      </c>
    </row>
    <row r="2030" spans="1:18" ht="24">
      <c r="A2030" s="339">
        <v>65.2</v>
      </c>
      <c r="B2030" s="334" t="s">
        <v>3601</v>
      </c>
      <c r="C2030" s="340" t="s">
        <v>3602</v>
      </c>
      <c r="D2030" s="341">
        <v>667.25</v>
      </c>
      <c r="E2030" s="341">
        <v>592.03</v>
      </c>
      <c r="F2030" s="341">
        <v>14.26</v>
      </c>
      <c r="G2030" s="341">
        <v>60.96</v>
      </c>
      <c r="H2030" s="342">
        <v>8475.93</v>
      </c>
      <c r="I2030" s="342">
        <v>7726.16</v>
      </c>
      <c r="J2030" s="342">
        <v>108.57</v>
      </c>
      <c r="K2030" s="342">
        <v>641.20000000000005</v>
      </c>
      <c r="L2030" s="357">
        <v>12.70278006744099</v>
      </c>
      <c r="M2030" s="357">
        <v>13.05</v>
      </c>
      <c r="N2030" s="357">
        <v>7.6136044880785407</v>
      </c>
      <c r="O2030" s="357">
        <v>10.518372703412075</v>
      </c>
      <c r="P2030" s="343"/>
      <c r="Q2030" s="343"/>
      <c r="R2030" s="343">
        <v>1</v>
      </c>
    </row>
    <row r="2031" spans="1:18" ht="24">
      <c r="A2031" s="339">
        <v>65.3</v>
      </c>
      <c r="B2031" s="334" t="s">
        <v>3603</v>
      </c>
      <c r="C2031" s="340" t="s">
        <v>3604</v>
      </c>
      <c r="D2031" s="341">
        <v>846.93</v>
      </c>
      <c r="E2031" s="341">
        <v>758.45</v>
      </c>
      <c r="F2031" s="341">
        <v>18.68</v>
      </c>
      <c r="G2031" s="341">
        <v>69.8</v>
      </c>
      <c r="H2031" s="342">
        <v>10774.75</v>
      </c>
      <c r="I2031" s="342">
        <v>9898.08</v>
      </c>
      <c r="J2031" s="342">
        <v>142.19</v>
      </c>
      <c r="K2031" s="342">
        <v>734.48</v>
      </c>
      <c r="L2031" s="357">
        <v>12.722125795520292</v>
      </c>
      <c r="M2031" s="357">
        <v>13.05</v>
      </c>
      <c r="N2031" s="357">
        <v>7.6118843683083508</v>
      </c>
      <c r="O2031" s="357">
        <v>10.522636103151862</v>
      </c>
      <c r="P2031" s="343"/>
      <c r="Q2031" s="343"/>
      <c r="R2031" s="343">
        <v>1</v>
      </c>
    </row>
    <row r="2032" spans="1:18" ht="12.75">
      <c r="A2032" s="426" t="s">
        <v>3605</v>
      </c>
      <c r="B2032" s="427"/>
      <c r="C2032" s="427"/>
      <c r="D2032" s="427"/>
      <c r="E2032" s="427"/>
      <c r="F2032" s="427"/>
      <c r="G2032" s="427"/>
      <c r="H2032" s="427"/>
      <c r="I2032" s="427"/>
      <c r="J2032" s="427"/>
      <c r="K2032" s="427"/>
      <c r="L2032" s="427"/>
      <c r="M2032" s="427"/>
      <c r="N2032" s="427"/>
      <c r="O2032" s="427"/>
      <c r="P2032" s="427"/>
      <c r="Q2032" s="427"/>
      <c r="R2032" s="427"/>
    </row>
    <row r="2033" spans="1:18" ht="24">
      <c r="A2033" s="339">
        <v>65.400000000000006</v>
      </c>
      <c r="B2033" s="334" t="s">
        <v>3606</v>
      </c>
      <c r="C2033" s="340" t="s">
        <v>3607</v>
      </c>
      <c r="D2033" s="341">
        <v>700.74</v>
      </c>
      <c r="E2033" s="341">
        <v>694.88</v>
      </c>
      <c r="F2033" s="341">
        <v>5.86</v>
      </c>
      <c r="G2033" s="341"/>
      <c r="H2033" s="342">
        <v>9112.99</v>
      </c>
      <c r="I2033" s="342">
        <v>9068.5300000000007</v>
      </c>
      <c r="J2033" s="342">
        <v>44.46</v>
      </c>
      <c r="K2033" s="342"/>
      <c r="L2033" s="357">
        <v>13.004809201701059</v>
      </c>
      <c r="M2033" s="357">
        <v>13.05</v>
      </c>
      <c r="N2033" s="357">
        <v>7.5870307167235493</v>
      </c>
      <c r="O2033" s="357" t="s">
        <v>135</v>
      </c>
      <c r="P2033" s="343"/>
      <c r="Q2033" s="343"/>
      <c r="R2033" s="343">
        <v>2</v>
      </c>
    </row>
    <row r="2034" spans="1:18" ht="24">
      <c r="A2034" s="339">
        <v>65.5</v>
      </c>
      <c r="B2034" s="334" t="s">
        <v>3608</v>
      </c>
      <c r="C2034" s="340" t="s">
        <v>3609</v>
      </c>
      <c r="D2034" s="341">
        <v>873.25</v>
      </c>
      <c r="E2034" s="341">
        <v>861.53</v>
      </c>
      <c r="F2034" s="341">
        <v>11.72</v>
      </c>
      <c r="G2034" s="341"/>
      <c r="H2034" s="342">
        <v>11332.32</v>
      </c>
      <c r="I2034" s="342">
        <v>11243.39</v>
      </c>
      <c r="J2034" s="342">
        <v>88.93</v>
      </c>
      <c r="K2034" s="342"/>
      <c r="L2034" s="357">
        <v>12.977177211565989</v>
      </c>
      <c r="M2034" s="357">
        <v>13.05</v>
      </c>
      <c r="N2034" s="357">
        <v>7.587883959044369</v>
      </c>
      <c r="O2034" s="357" t="s">
        <v>135</v>
      </c>
      <c r="P2034" s="343"/>
      <c r="Q2034" s="343"/>
      <c r="R2034" s="343">
        <v>2</v>
      </c>
    </row>
    <row r="2035" spans="1:18" ht="24">
      <c r="A2035" s="339">
        <v>65.599999999999994</v>
      </c>
      <c r="B2035" s="334" t="s">
        <v>3610</v>
      </c>
      <c r="C2035" s="340" t="s">
        <v>3611</v>
      </c>
      <c r="D2035" s="341">
        <v>1143.72</v>
      </c>
      <c r="E2035" s="341">
        <v>1126.1500000000001</v>
      </c>
      <c r="F2035" s="341">
        <v>17.57</v>
      </c>
      <c r="G2035" s="341"/>
      <c r="H2035" s="342">
        <v>14830.21</v>
      </c>
      <c r="I2035" s="342">
        <v>14696.82</v>
      </c>
      <c r="J2035" s="342">
        <v>133.38999999999999</v>
      </c>
      <c r="K2035" s="342"/>
      <c r="L2035" s="357">
        <v>12.966643933829957</v>
      </c>
      <c r="M2035" s="357">
        <v>13.05</v>
      </c>
      <c r="N2035" s="357">
        <v>7.5919180421172445</v>
      </c>
      <c r="O2035" s="357" t="s">
        <v>135</v>
      </c>
      <c r="P2035" s="343"/>
      <c r="Q2035" s="343"/>
      <c r="R2035" s="343">
        <v>2</v>
      </c>
    </row>
    <row r="2036" spans="1:18" ht="12.75">
      <c r="A2036" s="426" t="s">
        <v>3612</v>
      </c>
      <c r="B2036" s="427"/>
      <c r="C2036" s="427"/>
      <c r="D2036" s="427"/>
      <c r="E2036" s="427"/>
      <c r="F2036" s="427"/>
      <c r="G2036" s="427"/>
      <c r="H2036" s="427"/>
      <c r="I2036" s="427"/>
      <c r="J2036" s="427"/>
      <c r="K2036" s="427"/>
      <c r="L2036" s="427"/>
      <c r="M2036" s="427"/>
      <c r="N2036" s="427"/>
      <c r="O2036" s="427"/>
      <c r="P2036" s="427"/>
      <c r="Q2036" s="427"/>
      <c r="R2036" s="427"/>
    </row>
    <row r="2037" spans="1:18">
      <c r="A2037" s="339">
        <v>65.7</v>
      </c>
      <c r="B2037" s="334" t="s">
        <v>3613</v>
      </c>
      <c r="C2037" s="340" t="s">
        <v>3614</v>
      </c>
      <c r="D2037" s="341">
        <v>58.45</v>
      </c>
      <c r="E2037" s="341">
        <v>58.08</v>
      </c>
      <c r="F2037" s="341">
        <v>0.37</v>
      </c>
      <c r="G2037" s="341"/>
      <c r="H2037" s="342">
        <v>760.77</v>
      </c>
      <c r="I2037" s="342">
        <v>757.99</v>
      </c>
      <c r="J2037" s="342">
        <v>2.78</v>
      </c>
      <c r="K2037" s="342"/>
      <c r="L2037" s="357">
        <v>13.01573994867408</v>
      </c>
      <c r="M2037" s="357">
        <v>13.05</v>
      </c>
      <c r="N2037" s="357">
        <v>7.5135135135135132</v>
      </c>
      <c r="O2037" s="357" t="s">
        <v>135</v>
      </c>
      <c r="P2037" s="343"/>
      <c r="Q2037" s="343"/>
      <c r="R2037" s="343">
        <v>3</v>
      </c>
    </row>
    <row r="2038" spans="1:18" ht="24">
      <c r="A2038" s="339">
        <v>65.8</v>
      </c>
      <c r="B2038" s="334" t="s">
        <v>3615</v>
      </c>
      <c r="C2038" s="340" t="s">
        <v>3616</v>
      </c>
      <c r="D2038" s="341">
        <v>304.3</v>
      </c>
      <c r="E2038" s="341">
        <v>295.51</v>
      </c>
      <c r="F2038" s="341">
        <v>8.7899999999999991</v>
      </c>
      <c r="G2038" s="341"/>
      <c r="H2038" s="342">
        <v>3923.12</v>
      </c>
      <c r="I2038" s="342">
        <v>3856.42</v>
      </c>
      <c r="J2038" s="342">
        <v>66.7</v>
      </c>
      <c r="K2038" s="342"/>
      <c r="L2038" s="357">
        <v>12.892277357870523</v>
      </c>
      <c r="M2038" s="357">
        <v>13.05</v>
      </c>
      <c r="N2038" s="357">
        <v>7.5881683731513094</v>
      </c>
      <c r="O2038" s="357" t="s">
        <v>135</v>
      </c>
      <c r="P2038" s="343"/>
      <c r="Q2038" s="343"/>
      <c r="R2038" s="343">
        <v>3</v>
      </c>
    </row>
    <row r="2039" spans="1:18" ht="24">
      <c r="A2039" s="339">
        <v>65.900000000000006</v>
      </c>
      <c r="B2039" s="334" t="s">
        <v>3617</v>
      </c>
      <c r="C2039" s="340" t="s">
        <v>3618</v>
      </c>
      <c r="D2039" s="341">
        <v>531.33000000000004</v>
      </c>
      <c r="E2039" s="341">
        <v>506.44</v>
      </c>
      <c r="F2039" s="341">
        <v>24.89</v>
      </c>
      <c r="G2039" s="341"/>
      <c r="H2039" s="342">
        <v>6798.08</v>
      </c>
      <c r="I2039" s="342">
        <v>6609.11</v>
      </c>
      <c r="J2039" s="342">
        <v>188.97</v>
      </c>
      <c r="K2039" s="342"/>
      <c r="L2039" s="357">
        <v>12.794459187322378</v>
      </c>
      <c r="M2039" s="357">
        <v>13.05</v>
      </c>
      <c r="N2039" s="357">
        <v>7.592205705102451</v>
      </c>
      <c r="O2039" s="357" t="s">
        <v>135</v>
      </c>
      <c r="P2039" s="343"/>
      <c r="Q2039" s="343"/>
      <c r="R2039" s="343">
        <v>3</v>
      </c>
    </row>
    <row r="2040" spans="1:18" ht="24">
      <c r="A2040" s="339">
        <v>65.099999999999994</v>
      </c>
      <c r="B2040" s="334" t="s">
        <v>3619</v>
      </c>
      <c r="C2040" s="340" t="s">
        <v>3620</v>
      </c>
      <c r="D2040" s="341">
        <v>490.95</v>
      </c>
      <c r="E2040" s="341">
        <v>477.4</v>
      </c>
      <c r="F2040" s="341">
        <v>13.55</v>
      </c>
      <c r="G2040" s="341"/>
      <c r="H2040" s="342">
        <v>6332.93</v>
      </c>
      <c r="I2040" s="342">
        <v>6230.11</v>
      </c>
      <c r="J2040" s="342">
        <v>102.82</v>
      </c>
      <c r="K2040" s="342"/>
      <c r="L2040" s="357">
        <v>12.89933801812812</v>
      </c>
      <c r="M2040" s="357">
        <v>13.05</v>
      </c>
      <c r="N2040" s="357">
        <v>7.5881918819188181</v>
      </c>
      <c r="O2040" s="357" t="s">
        <v>135</v>
      </c>
      <c r="P2040" s="343"/>
      <c r="Q2040" s="343"/>
      <c r="R2040" s="343">
        <v>3</v>
      </c>
    </row>
    <row r="2041" spans="1:18" ht="24">
      <c r="A2041" s="339">
        <v>65.11</v>
      </c>
      <c r="B2041" s="334" t="s">
        <v>3621</v>
      </c>
      <c r="C2041" s="340" t="s">
        <v>3622</v>
      </c>
      <c r="D2041" s="341">
        <v>1016.79</v>
      </c>
      <c r="E2041" s="341">
        <v>975.79</v>
      </c>
      <c r="F2041" s="341">
        <v>41</v>
      </c>
      <c r="G2041" s="341"/>
      <c r="H2041" s="342">
        <v>13045.41</v>
      </c>
      <c r="I2041" s="342">
        <v>12734.16</v>
      </c>
      <c r="J2041" s="342">
        <v>311.25</v>
      </c>
      <c r="K2041" s="342"/>
      <c r="L2041" s="357">
        <v>12.82999439412268</v>
      </c>
      <c r="M2041" s="357">
        <v>13.05</v>
      </c>
      <c r="N2041" s="357">
        <v>7.5914634146341466</v>
      </c>
      <c r="O2041" s="357" t="s">
        <v>135</v>
      </c>
      <c r="P2041" s="343"/>
      <c r="Q2041" s="343"/>
      <c r="R2041" s="343">
        <v>3</v>
      </c>
    </row>
    <row r="2042" spans="1:18">
      <c r="A2042" s="339">
        <v>65.12</v>
      </c>
      <c r="B2042" s="334" t="s">
        <v>3623</v>
      </c>
      <c r="C2042" s="340" t="s">
        <v>3624</v>
      </c>
      <c r="D2042" s="341">
        <v>591.03</v>
      </c>
      <c r="E2042" s="341">
        <v>586.64</v>
      </c>
      <c r="F2042" s="341">
        <v>4.3899999999999997</v>
      </c>
      <c r="G2042" s="341"/>
      <c r="H2042" s="342">
        <v>7689.01</v>
      </c>
      <c r="I2042" s="342">
        <v>7655.66</v>
      </c>
      <c r="J2042" s="342">
        <v>33.35</v>
      </c>
      <c r="K2042" s="342"/>
      <c r="L2042" s="357">
        <v>13.009508823579177</v>
      </c>
      <c r="M2042" s="357">
        <v>13.05</v>
      </c>
      <c r="N2042" s="357">
        <v>7.596810933940775</v>
      </c>
      <c r="O2042" s="357" t="s">
        <v>135</v>
      </c>
      <c r="P2042" s="343"/>
      <c r="Q2042" s="343"/>
      <c r="R2042" s="343">
        <v>3</v>
      </c>
    </row>
    <row r="2043" spans="1:18">
      <c r="A2043" s="339">
        <v>65.13</v>
      </c>
      <c r="B2043" s="334" t="s">
        <v>3625</v>
      </c>
      <c r="C2043" s="340" t="s">
        <v>3626</v>
      </c>
      <c r="D2043" s="341">
        <v>376.63</v>
      </c>
      <c r="E2043" s="341">
        <v>374.07</v>
      </c>
      <c r="F2043" s="341">
        <v>2.56</v>
      </c>
      <c r="G2043" s="341"/>
      <c r="H2043" s="342">
        <v>4901.1499999999996</v>
      </c>
      <c r="I2043" s="342">
        <v>4881.7</v>
      </c>
      <c r="J2043" s="342">
        <v>19.45</v>
      </c>
      <c r="K2043" s="342"/>
      <c r="L2043" s="357">
        <v>13.013169423572206</v>
      </c>
      <c r="M2043" s="357">
        <v>13.05</v>
      </c>
      <c r="N2043" s="357">
        <v>7.59765625</v>
      </c>
      <c r="O2043" s="357" t="s">
        <v>135</v>
      </c>
      <c r="P2043" s="343"/>
      <c r="Q2043" s="343"/>
      <c r="R2043" s="343">
        <v>3</v>
      </c>
    </row>
    <row r="2044" spans="1:18">
      <c r="A2044" s="339">
        <v>65.14</v>
      </c>
      <c r="B2044" s="334" t="s">
        <v>3627</v>
      </c>
      <c r="C2044" s="340" t="s">
        <v>3628</v>
      </c>
      <c r="D2044" s="341">
        <v>305.86</v>
      </c>
      <c r="E2044" s="341">
        <v>283.27999999999997</v>
      </c>
      <c r="F2044" s="341">
        <v>22.58</v>
      </c>
      <c r="G2044" s="341"/>
      <c r="H2044" s="342">
        <v>3821.93</v>
      </c>
      <c r="I2044" s="342">
        <v>3696.84</v>
      </c>
      <c r="J2044" s="342">
        <v>125.09</v>
      </c>
      <c r="K2044" s="342"/>
      <c r="L2044" s="357">
        <v>12.495684300006538</v>
      </c>
      <c r="M2044" s="357">
        <v>13.05</v>
      </c>
      <c r="N2044" s="357">
        <v>5.5398582816651913</v>
      </c>
      <c r="O2044" s="357" t="s">
        <v>135</v>
      </c>
      <c r="P2044" s="343"/>
      <c r="Q2044" s="343"/>
      <c r="R2044" s="343">
        <v>3</v>
      </c>
    </row>
    <row r="2045" spans="1:18">
      <c r="A2045" s="339">
        <v>65.150000000000006</v>
      </c>
      <c r="B2045" s="334" t="s">
        <v>3629</v>
      </c>
      <c r="C2045" s="340" t="s">
        <v>3630</v>
      </c>
      <c r="D2045" s="341">
        <v>954.04</v>
      </c>
      <c r="E2045" s="341">
        <v>883.47</v>
      </c>
      <c r="F2045" s="341">
        <v>70.569999999999993</v>
      </c>
      <c r="G2045" s="341"/>
      <c r="H2045" s="342">
        <v>11920.27</v>
      </c>
      <c r="I2045" s="342">
        <v>11529.37</v>
      </c>
      <c r="J2045" s="342">
        <v>390.9</v>
      </c>
      <c r="K2045" s="342"/>
      <c r="L2045" s="357">
        <v>12.494518049557671</v>
      </c>
      <c r="M2045" s="357">
        <v>13.05</v>
      </c>
      <c r="N2045" s="357">
        <v>5.5391809550800621</v>
      </c>
      <c r="O2045" s="357" t="s">
        <v>135</v>
      </c>
      <c r="P2045" s="343"/>
      <c r="Q2045" s="343"/>
      <c r="R2045" s="343">
        <v>3</v>
      </c>
    </row>
    <row r="2046" spans="1:18">
      <c r="A2046" s="339">
        <v>65.16</v>
      </c>
      <c r="B2046" s="334" t="s">
        <v>3631</v>
      </c>
      <c r="C2046" s="340" t="s">
        <v>3632</v>
      </c>
      <c r="D2046" s="341">
        <v>3924.78</v>
      </c>
      <c r="E2046" s="341">
        <v>3711.2</v>
      </c>
      <c r="F2046" s="341">
        <v>213.58</v>
      </c>
      <c r="G2046" s="341"/>
      <c r="H2046" s="342">
        <v>49614.44</v>
      </c>
      <c r="I2046" s="342">
        <v>48431.32</v>
      </c>
      <c r="J2046" s="342">
        <v>1183.1199999999999</v>
      </c>
      <c r="K2046" s="342"/>
      <c r="L2046" s="357">
        <v>12.641330214687192</v>
      </c>
      <c r="M2046" s="357">
        <v>13.05</v>
      </c>
      <c r="N2046" s="357">
        <v>5.5394699878265747</v>
      </c>
      <c r="O2046" s="357" t="s">
        <v>135</v>
      </c>
      <c r="P2046" s="343"/>
      <c r="Q2046" s="343"/>
      <c r="R2046" s="343">
        <v>3</v>
      </c>
    </row>
    <row r="2047" spans="1:18">
      <c r="A2047" s="339">
        <v>65.17</v>
      </c>
      <c r="B2047" s="334" t="s">
        <v>3633</v>
      </c>
      <c r="C2047" s="340" t="s">
        <v>3634</v>
      </c>
      <c r="D2047" s="341">
        <v>1263.51</v>
      </c>
      <c r="E2047" s="341">
        <v>1236.05</v>
      </c>
      <c r="F2047" s="341">
        <v>27.46</v>
      </c>
      <c r="G2047" s="341"/>
      <c r="H2047" s="342">
        <v>16338.9</v>
      </c>
      <c r="I2047" s="342">
        <v>16130.47</v>
      </c>
      <c r="J2047" s="342">
        <v>208.43</v>
      </c>
      <c r="K2047" s="342"/>
      <c r="L2047" s="357">
        <v>12.931357883989838</v>
      </c>
      <c r="M2047" s="357">
        <v>13.05</v>
      </c>
      <c r="N2047" s="357">
        <v>7.5903131828113617</v>
      </c>
      <c r="O2047" s="357" t="s">
        <v>135</v>
      </c>
      <c r="P2047" s="343"/>
      <c r="Q2047" s="343"/>
      <c r="R2047" s="343">
        <v>3</v>
      </c>
    </row>
    <row r="2048" spans="1:18">
      <c r="A2048" s="339">
        <v>65.180000000000007</v>
      </c>
      <c r="B2048" s="334" t="s">
        <v>3635</v>
      </c>
      <c r="C2048" s="340" t="s">
        <v>3636</v>
      </c>
      <c r="D2048" s="341">
        <v>3073.56</v>
      </c>
      <c r="E2048" s="341">
        <v>3002.99</v>
      </c>
      <c r="F2048" s="341">
        <v>70.569999999999993</v>
      </c>
      <c r="G2048" s="341"/>
      <c r="H2048" s="342">
        <v>39580.11</v>
      </c>
      <c r="I2048" s="342">
        <v>39189.21</v>
      </c>
      <c r="J2048" s="342">
        <v>390.9</v>
      </c>
      <c r="K2048" s="342"/>
      <c r="L2048" s="357">
        <v>12.877610978799829</v>
      </c>
      <c r="M2048" s="357">
        <v>13.05</v>
      </c>
      <c r="N2048" s="357">
        <v>5.5391809550800621</v>
      </c>
      <c r="O2048" s="357" t="s">
        <v>135</v>
      </c>
      <c r="P2048" s="343"/>
      <c r="Q2048" s="343"/>
      <c r="R2048" s="343">
        <v>3</v>
      </c>
    </row>
    <row r="2049" spans="1:18">
      <c r="A2049" s="339">
        <v>65.19</v>
      </c>
      <c r="B2049" s="334" t="s">
        <v>3637</v>
      </c>
      <c r="C2049" s="340" t="s">
        <v>3638</v>
      </c>
      <c r="D2049" s="341">
        <v>980.26</v>
      </c>
      <c r="E2049" s="341">
        <v>971.11</v>
      </c>
      <c r="F2049" s="341">
        <v>9.15</v>
      </c>
      <c r="G2049" s="341"/>
      <c r="H2049" s="342">
        <v>12742.47</v>
      </c>
      <c r="I2049" s="342">
        <v>12672.99</v>
      </c>
      <c r="J2049" s="342">
        <v>69.48</v>
      </c>
      <c r="K2049" s="342"/>
      <c r="L2049" s="357">
        <v>12.999071674861771</v>
      </c>
      <c r="M2049" s="357">
        <v>13.05</v>
      </c>
      <c r="N2049" s="357">
        <v>7.5934426229508194</v>
      </c>
      <c r="O2049" s="357" t="s">
        <v>135</v>
      </c>
      <c r="P2049" s="343"/>
      <c r="Q2049" s="343"/>
      <c r="R2049" s="343">
        <v>3</v>
      </c>
    </row>
    <row r="2050" spans="1:18">
      <c r="A2050" s="339">
        <v>65.2</v>
      </c>
      <c r="B2050" s="334" t="s">
        <v>3639</v>
      </c>
      <c r="C2050" s="340" t="s">
        <v>3640</v>
      </c>
      <c r="D2050" s="341">
        <v>1603.85</v>
      </c>
      <c r="E2050" s="341">
        <v>1576.39</v>
      </c>
      <c r="F2050" s="341">
        <v>27.46</v>
      </c>
      <c r="G2050" s="341"/>
      <c r="H2050" s="342">
        <v>20780.439999999999</v>
      </c>
      <c r="I2050" s="342">
        <v>20572.009999999998</v>
      </c>
      <c r="J2050" s="342">
        <v>208.43</v>
      </c>
      <c r="K2050" s="342"/>
      <c r="L2050" s="357">
        <v>12.956598185615862</v>
      </c>
      <c r="M2050" s="357">
        <v>13.05</v>
      </c>
      <c r="N2050" s="357">
        <v>7.5903131828113617</v>
      </c>
      <c r="O2050" s="357" t="s">
        <v>135</v>
      </c>
      <c r="P2050" s="343"/>
      <c r="Q2050" s="343"/>
      <c r="R2050" s="343">
        <v>3</v>
      </c>
    </row>
    <row r="2051" spans="1:18" ht="24">
      <c r="A2051" s="339">
        <v>65.209999999999994</v>
      </c>
      <c r="B2051" s="334" t="s">
        <v>3641</v>
      </c>
      <c r="C2051" s="340" t="s">
        <v>3642</v>
      </c>
      <c r="D2051" s="341">
        <v>1793.42</v>
      </c>
      <c r="E2051" s="341">
        <v>1784.27</v>
      </c>
      <c r="F2051" s="341">
        <v>9.15</v>
      </c>
      <c r="G2051" s="341"/>
      <c r="H2051" s="342">
        <v>23354.28</v>
      </c>
      <c r="I2051" s="342">
        <v>23284.799999999999</v>
      </c>
      <c r="J2051" s="342">
        <v>69.48</v>
      </c>
      <c r="K2051" s="342"/>
      <c r="L2051" s="357">
        <v>13.022203387940358</v>
      </c>
      <c r="M2051" s="357">
        <v>13.05</v>
      </c>
      <c r="N2051" s="357">
        <v>7.5934426229508194</v>
      </c>
      <c r="O2051" s="357" t="s">
        <v>135</v>
      </c>
      <c r="P2051" s="343"/>
      <c r="Q2051" s="343"/>
      <c r="R2051" s="343">
        <v>3</v>
      </c>
    </row>
    <row r="2052" spans="1:18" ht="24">
      <c r="A2052" s="339">
        <v>65.22</v>
      </c>
      <c r="B2052" s="334" t="s">
        <v>3643</v>
      </c>
      <c r="C2052" s="340" t="s">
        <v>3644</v>
      </c>
      <c r="D2052" s="341">
        <v>1889.17</v>
      </c>
      <c r="E2052" s="341">
        <v>1861.71</v>
      </c>
      <c r="F2052" s="341">
        <v>27.46</v>
      </c>
      <c r="G2052" s="341"/>
      <c r="H2052" s="342">
        <v>24503.88</v>
      </c>
      <c r="I2052" s="342">
        <v>24295.45</v>
      </c>
      <c r="J2052" s="342">
        <v>208.43</v>
      </c>
      <c r="K2052" s="342"/>
      <c r="L2052" s="357">
        <v>12.97071200580149</v>
      </c>
      <c r="M2052" s="357">
        <v>13.05</v>
      </c>
      <c r="N2052" s="357">
        <v>7.5903131828113617</v>
      </c>
      <c r="O2052" s="357" t="s">
        <v>135</v>
      </c>
      <c r="P2052" s="343"/>
      <c r="Q2052" s="343"/>
      <c r="R2052" s="343">
        <v>3</v>
      </c>
    </row>
    <row r="2053" spans="1:18">
      <c r="A2053" s="339">
        <v>65.23</v>
      </c>
      <c r="B2053" s="334" t="s">
        <v>3645</v>
      </c>
      <c r="C2053" s="340" t="s">
        <v>3646</v>
      </c>
      <c r="D2053" s="341">
        <v>1887.9</v>
      </c>
      <c r="E2053" s="341">
        <v>1086.25</v>
      </c>
      <c r="F2053" s="341">
        <v>801.65</v>
      </c>
      <c r="G2053" s="341"/>
      <c r="H2053" s="342">
        <v>18616.29</v>
      </c>
      <c r="I2053" s="342">
        <v>14175.67</v>
      </c>
      <c r="J2053" s="342">
        <v>4440.62</v>
      </c>
      <c r="K2053" s="342"/>
      <c r="L2053" s="357">
        <v>9.8608453837597327</v>
      </c>
      <c r="M2053" s="357">
        <v>13.05</v>
      </c>
      <c r="N2053" s="357">
        <v>5.5393500904384707</v>
      </c>
      <c r="O2053" s="357" t="s">
        <v>135</v>
      </c>
      <c r="P2053" s="343"/>
      <c r="Q2053" s="343"/>
      <c r="R2053" s="343">
        <v>3</v>
      </c>
    </row>
    <row r="2054" spans="1:18">
      <c r="A2054" s="339">
        <v>65.239999999999995</v>
      </c>
      <c r="B2054" s="334" t="s">
        <v>3647</v>
      </c>
      <c r="C2054" s="340" t="s">
        <v>3648</v>
      </c>
      <c r="D2054" s="341">
        <v>2929.8</v>
      </c>
      <c r="E2054" s="341">
        <v>1311.45</v>
      </c>
      <c r="F2054" s="341">
        <v>1618.35</v>
      </c>
      <c r="G2054" s="341"/>
      <c r="H2054" s="342">
        <v>26079.17</v>
      </c>
      <c r="I2054" s="342">
        <v>17114.53</v>
      </c>
      <c r="J2054" s="342">
        <v>8964.64</v>
      </c>
      <c r="K2054" s="342"/>
      <c r="L2054" s="357">
        <v>8.9013482148952132</v>
      </c>
      <c r="M2054" s="357">
        <v>13.05</v>
      </c>
      <c r="N2054" s="357">
        <v>5.5393703463404087</v>
      </c>
      <c r="O2054" s="357" t="s">
        <v>135</v>
      </c>
      <c r="P2054" s="343"/>
      <c r="Q2054" s="343"/>
      <c r="R2054" s="343">
        <v>3</v>
      </c>
    </row>
    <row r="2055" spans="1:18" ht="12.75">
      <c r="A2055" s="426" t="s">
        <v>3649</v>
      </c>
      <c r="B2055" s="427"/>
      <c r="C2055" s="427"/>
      <c r="D2055" s="427"/>
      <c r="E2055" s="427"/>
      <c r="F2055" s="427"/>
      <c r="G2055" s="427"/>
      <c r="H2055" s="427"/>
      <c r="I2055" s="427"/>
      <c r="J2055" s="427"/>
      <c r="K2055" s="427"/>
      <c r="L2055" s="427"/>
      <c r="M2055" s="427"/>
      <c r="N2055" s="427"/>
      <c r="O2055" s="427"/>
      <c r="P2055" s="427"/>
      <c r="Q2055" s="427"/>
      <c r="R2055" s="427"/>
    </row>
    <row r="2056" spans="1:18">
      <c r="A2056" s="339">
        <v>65.25</v>
      </c>
      <c r="B2056" s="334" t="s">
        <v>3650</v>
      </c>
      <c r="C2056" s="340" t="s">
        <v>3651</v>
      </c>
      <c r="D2056" s="341">
        <v>532.27</v>
      </c>
      <c r="E2056" s="341">
        <v>522.75</v>
      </c>
      <c r="F2056" s="341">
        <v>9.52</v>
      </c>
      <c r="G2056" s="341"/>
      <c r="H2056" s="342">
        <v>6894.12</v>
      </c>
      <c r="I2056" s="342">
        <v>6821.87</v>
      </c>
      <c r="J2056" s="342">
        <v>72.25</v>
      </c>
      <c r="K2056" s="342"/>
      <c r="L2056" s="357">
        <v>12.952298645424316</v>
      </c>
      <c r="M2056" s="357">
        <v>13.05</v>
      </c>
      <c r="N2056" s="357">
        <v>7.5892857142857144</v>
      </c>
      <c r="O2056" s="357" t="s">
        <v>135</v>
      </c>
      <c r="P2056" s="343"/>
      <c r="Q2056" s="343"/>
      <c r="R2056" s="343">
        <v>4</v>
      </c>
    </row>
    <row r="2057" spans="1:18">
      <c r="A2057" s="339">
        <v>65.260000000000005</v>
      </c>
      <c r="B2057" s="334" t="s">
        <v>3652</v>
      </c>
      <c r="C2057" s="340" t="s">
        <v>3653</v>
      </c>
      <c r="D2057" s="341">
        <v>661.15</v>
      </c>
      <c r="E2057" s="341">
        <v>650.53</v>
      </c>
      <c r="F2057" s="341">
        <v>10.62</v>
      </c>
      <c r="G2057" s="341"/>
      <c r="H2057" s="342">
        <v>8570.0300000000007</v>
      </c>
      <c r="I2057" s="342">
        <v>8489.44</v>
      </c>
      <c r="J2057" s="342">
        <v>80.59</v>
      </c>
      <c r="K2057" s="342"/>
      <c r="L2057" s="357">
        <v>12.962308099523559</v>
      </c>
      <c r="M2057" s="357">
        <v>13.05</v>
      </c>
      <c r="N2057" s="357">
        <v>7.5885122410546151</v>
      </c>
      <c r="O2057" s="357" t="s">
        <v>135</v>
      </c>
      <c r="P2057" s="343"/>
      <c r="Q2057" s="343"/>
      <c r="R2057" s="343">
        <v>4</v>
      </c>
    </row>
    <row r="2058" spans="1:18">
      <c r="A2058" s="339">
        <v>65.27</v>
      </c>
      <c r="B2058" s="334" t="s">
        <v>3654</v>
      </c>
      <c r="C2058" s="340" t="s">
        <v>3655</v>
      </c>
      <c r="D2058" s="341">
        <v>1074.4100000000001</v>
      </c>
      <c r="E2058" s="341">
        <v>1045.49</v>
      </c>
      <c r="F2058" s="341">
        <v>28.92</v>
      </c>
      <c r="G2058" s="341"/>
      <c r="H2058" s="342">
        <v>13863.29</v>
      </c>
      <c r="I2058" s="342">
        <v>13643.75</v>
      </c>
      <c r="J2058" s="342">
        <v>219.54</v>
      </c>
      <c r="K2058" s="342"/>
      <c r="L2058" s="357">
        <v>12.903165458251506</v>
      </c>
      <c r="M2058" s="357">
        <v>13.05</v>
      </c>
      <c r="N2058" s="357">
        <v>7.5912863070539416</v>
      </c>
      <c r="O2058" s="357" t="s">
        <v>135</v>
      </c>
      <c r="P2058" s="343"/>
      <c r="Q2058" s="343"/>
      <c r="R2058" s="343">
        <v>4</v>
      </c>
    </row>
    <row r="2059" spans="1:18">
      <c r="A2059" s="339">
        <v>65.28</v>
      </c>
      <c r="B2059" s="334" t="s">
        <v>3656</v>
      </c>
      <c r="C2059" s="340" t="s">
        <v>3657</v>
      </c>
      <c r="D2059" s="341">
        <v>3081.95</v>
      </c>
      <c r="E2059" s="341">
        <v>2985.67</v>
      </c>
      <c r="F2059" s="341">
        <v>96.28</v>
      </c>
      <c r="G2059" s="341"/>
      <c r="H2059" s="342">
        <v>39694.019999999997</v>
      </c>
      <c r="I2059" s="342">
        <v>38963.14</v>
      </c>
      <c r="J2059" s="342">
        <v>730.88</v>
      </c>
      <c r="K2059" s="342"/>
      <c r="L2059" s="357">
        <v>12.879514593033631</v>
      </c>
      <c r="M2059" s="357">
        <v>13.05</v>
      </c>
      <c r="N2059" s="357">
        <v>7.5911923556294143</v>
      </c>
      <c r="O2059" s="357" t="s">
        <v>135</v>
      </c>
      <c r="P2059" s="343"/>
      <c r="Q2059" s="343"/>
      <c r="R2059" s="343">
        <v>4</v>
      </c>
    </row>
    <row r="2060" spans="1:18">
      <c r="A2060" s="339">
        <v>65.290000000000006</v>
      </c>
      <c r="B2060" s="334" t="s">
        <v>3658</v>
      </c>
      <c r="C2060" s="340" t="s">
        <v>3659</v>
      </c>
      <c r="D2060" s="341">
        <v>569.74</v>
      </c>
      <c r="E2060" s="341">
        <v>569.01</v>
      </c>
      <c r="F2060" s="341">
        <v>0.73</v>
      </c>
      <c r="G2060" s="341"/>
      <c r="H2060" s="342">
        <v>7431.16</v>
      </c>
      <c r="I2060" s="342">
        <v>7425.6</v>
      </c>
      <c r="J2060" s="342">
        <v>5.56</v>
      </c>
      <c r="K2060" s="342"/>
      <c r="L2060" s="357">
        <v>13.043072278583212</v>
      </c>
      <c r="M2060" s="357">
        <v>13.05</v>
      </c>
      <c r="N2060" s="357">
        <v>7.6164383561643829</v>
      </c>
      <c r="O2060" s="357" t="s">
        <v>135</v>
      </c>
      <c r="P2060" s="343"/>
      <c r="Q2060" s="343"/>
      <c r="R2060" s="343">
        <v>4</v>
      </c>
    </row>
    <row r="2061" spans="1:18">
      <c r="A2061" s="339">
        <v>65.3</v>
      </c>
      <c r="B2061" s="334" t="s">
        <v>3660</v>
      </c>
      <c r="C2061" s="340" t="s">
        <v>3661</v>
      </c>
      <c r="D2061" s="341">
        <v>445.57</v>
      </c>
      <c r="E2061" s="341">
        <v>445.2</v>
      </c>
      <c r="F2061" s="341">
        <v>0.37</v>
      </c>
      <c r="G2061" s="341"/>
      <c r="H2061" s="342">
        <v>5812.68</v>
      </c>
      <c r="I2061" s="342">
        <v>5809.9</v>
      </c>
      <c r="J2061" s="342">
        <v>2.78</v>
      </c>
      <c r="K2061" s="342"/>
      <c r="L2061" s="357">
        <v>13.045492290773616</v>
      </c>
      <c r="M2061" s="357">
        <v>13.05</v>
      </c>
      <c r="N2061" s="357">
        <v>7.5135135135135132</v>
      </c>
      <c r="O2061" s="357" t="s">
        <v>135</v>
      </c>
      <c r="P2061" s="343"/>
      <c r="Q2061" s="343"/>
      <c r="R2061" s="343">
        <v>4</v>
      </c>
    </row>
    <row r="2062" spans="1:18">
      <c r="A2062" s="339">
        <v>65.31</v>
      </c>
      <c r="B2062" s="334" t="s">
        <v>3662</v>
      </c>
      <c r="C2062" s="340" t="s">
        <v>3663</v>
      </c>
      <c r="D2062" s="341">
        <v>601.39</v>
      </c>
      <c r="E2062" s="341">
        <v>600.29</v>
      </c>
      <c r="F2062" s="341">
        <v>1.1000000000000001</v>
      </c>
      <c r="G2062" s="341"/>
      <c r="H2062" s="342">
        <v>7842.19</v>
      </c>
      <c r="I2062" s="342">
        <v>7833.85</v>
      </c>
      <c r="J2062" s="342">
        <v>8.34</v>
      </c>
      <c r="K2062" s="342"/>
      <c r="L2062" s="357">
        <v>13.040107085252497</v>
      </c>
      <c r="M2062" s="357">
        <v>13.05</v>
      </c>
      <c r="N2062" s="357">
        <v>7.5818181818181811</v>
      </c>
      <c r="O2062" s="357" t="s">
        <v>135</v>
      </c>
      <c r="P2062" s="343"/>
      <c r="Q2062" s="343"/>
      <c r="R2062" s="343">
        <v>4</v>
      </c>
    </row>
    <row r="2063" spans="1:18" ht="24">
      <c r="A2063" s="339">
        <v>65.319999999999993</v>
      </c>
      <c r="B2063" s="334" t="s">
        <v>3664</v>
      </c>
      <c r="C2063" s="340" t="s">
        <v>3665</v>
      </c>
      <c r="D2063" s="341">
        <v>487.19</v>
      </c>
      <c r="E2063" s="341">
        <v>441.43</v>
      </c>
      <c r="F2063" s="341">
        <v>45.76</v>
      </c>
      <c r="G2063" s="341"/>
      <c r="H2063" s="342">
        <v>6108.07</v>
      </c>
      <c r="I2063" s="342">
        <v>5760.69</v>
      </c>
      <c r="J2063" s="342">
        <v>347.38</v>
      </c>
      <c r="K2063" s="342"/>
      <c r="L2063" s="357">
        <v>12.537346825673762</v>
      </c>
      <c r="M2063" s="357">
        <v>13.05</v>
      </c>
      <c r="N2063" s="357">
        <v>7.5913461538461542</v>
      </c>
      <c r="O2063" s="357" t="s">
        <v>135</v>
      </c>
      <c r="P2063" s="343"/>
      <c r="Q2063" s="343"/>
      <c r="R2063" s="343">
        <v>4</v>
      </c>
    </row>
    <row r="2064" spans="1:18" ht="24">
      <c r="A2064" s="339">
        <v>65.33</v>
      </c>
      <c r="B2064" s="334" t="s">
        <v>3666</v>
      </c>
      <c r="C2064" s="340" t="s">
        <v>3667</v>
      </c>
      <c r="D2064" s="341">
        <v>454.79</v>
      </c>
      <c r="E2064" s="341">
        <v>409.03</v>
      </c>
      <c r="F2064" s="341">
        <v>45.76</v>
      </c>
      <c r="G2064" s="341"/>
      <c r="H2064" s="342">
        <v>5685.2</v>
      </c>
      <c r="I2064" s="342">
        <v>5337.82</v>
      </c>
      <c r="J2064" s="342">
        <v>347.38</v>
      </c>
      <c r="K2064" s="342"/>
      <c r="L2064" s="357">
        <v>12.50071461553684</v>
      </c>
      <c r="M2064" s="357">
        <v>13.05</v>
      </c>
      <c r="N2064" s="357">
        <v>7.5913461538461542</v>
      </c>
      <c r="O2064" s="357" t="s">
        <v>135</v>
      </c>
      <c r="P2064" s="343"/>
      <c r="Q2064" s="343"/>
      <c r="R2064" s="343">
        <v>4</v>
      </c>
    </row>
    <row r="2065" spans="1:18" ht="24">
      <c r="A2065" s="339">
        <v>65.34</v>
      </c>
      <c r="B2065" s="334" t="s">
        <v>3668</v>
      </c>
      <c r="C2065" s="340" t="s">
        <v>3669</v>
      </c>
      <c r="D2065" s="341">
        <v>389.4</v>
      </c>
      <c r="E2065" s="341">
        <v>379.88</v>
      </c>
      <c r="F2065" s="341">
        <v>9.52</v>
      </c>
      <c r="G2065" s="341"/>
      <c r="H2065" s="342">
        <v>5029.74</v>
      </c>
      <c r="I2065" s="342">
        <v>4957.49</v>
      </c>
      <c r="J2065" s="342">
        <v>72.25</v>
      </c>
      <c r="K2065" s="342"/>
      <c r="L2065" s="357">
        <v>12.916640986132512</v>
      </c>
      <c r="M2065" s="357">
        <v>13.05</v>
      </c>
      <c r="N2065" s="357">
        <v>7.5892857142857144</v>
      </c>
      <c r="O2065" s="357" t="s">
        <v>135</v>
      </c>
      <c r="P2065" s="343"/>
      <c r="Q2065" s="343"/>
      <c r="R2065" s="343">
        <v>4</v>
      </c>
    </row>
    <row r="2066" spans="1:18">
      <c r="A2066" s="339">
        <v>65.349999999999994</v>
      </c>
      <c r="B2066" s="334" t="s">
        <v>3670</v>
      </c>
      <c r="C2066" s="340" t="s">
        <v>3671</v>
      </c>
      <c r="D2066" s="341">
        <v>959.88</v>
      </c>
      <c r="E2066" s="341">
        <v>952.56</v>
      </c>
      <c r="F2066" s="341">
        <v>7.32</v>
      </c>
      <c r="G2066" s="341"/>
      <c r="H2066" s="342">
        <v>12486.55</v>
      </c>
      <c r="I2066" s="342">
        <v>12430.97</v>
      </c>
      <c r="J2066" s="342">
        <v>55.58</v>
      </c>
      <c r="K2066" s="342"/>
      <c r="L2066" s="357">
        <v>13.008448972788264</v>
      </c>
      <c r="M2066" s="357">
        <v>13.05</v>
      </c>
      <c r="N2066" s="357">
        <v>7.5928961748633874</v>
      </c>
      <c r="O2066" s="357" t="s">
        <v>135</v>
      </c>
      <c r="P2066" s="343"/>
      <c r="Q2066" s="343"/>
      <c r="R2066" s="343">
        <v>4</v>
      </c>
    </row>
    <row r="2067" spans="1:18" ht="12.75">
      <c r="A2067" s="426" t="s">
        <v>3672</v>
      </c>
      <c r="B2067" s="427"/>
      <c r="C2067" s="427"/>
      <c r="D2067" s="427"/>
      <c r="E2067" s="427"/>
      <c r="F2067" s="427"/>
      <c r="G2067" s="427"/>
      <c r="H2067" s="427"/>
      <c r="I2067" s="427"/>
      <c r="J2067" s="427"/>
      <c r="K2067" s="427"/>
      <c r="L2067" s="427"/>
      <c r="M2067" s="427"/>
      <c r="N2067" s="427"/>
      <c r="O2067" s="427"/>
      <c r="P2067" s="427"/>
      <c r="Q2067" s="427"/>
      <c r="R2067" s="427"/>
    </row>
    <row r="2068" spans="1:18" ht="24">
      <c r="A2068" s="339">
        <v>65.36</v>
      </c>
      <c r="B2068" s="334" t="s">
        <v>3673</v>
      </c>
      <c r="C2068" s="340" t="s">
        <v>3674</v>
      </c>
      <c r="D2068" s="341">
        <v>3481.08</v>
      </c>
      <c r="E2068" s="341">
        <v>878.04</v>
      </c>
      <c r="F2068" s="341">
        <v>5.25</v>
      </c>
      <c r="G2068" s="341">
        <v>2597.79</v>
      </c>
      <c r="H2068" s="342">
        <v>22335.49</v>
      </c>
      <c r="I2068" s="342">
        <v>11458.26</v>
      </c>
      <c r="J2068" s="342">
        <v>26.53</v>
      </c>
      <c r="K2068" s="342">
        <v>10850.7</v>
      </c>
      <c r="L2068" s="357">
        <v>6.4162530019419268</v>
      </c>
      <c r="M2068" s="357">
        <v>13.05</v>
      </c>
      <c r="N2068" s="357">
        <v>5.0533333333333337</v>
      </c>
      <c r="O2068" s="357">
        <v>4.176896515884656</v>
      </c>
      <c r="P2068" s="343"/>
      <c r="Q2068" s="343"/>
      <c r="R2068" s="343">
        <v>5</v>
      </c>
    </row>
    <row r="2069" spans="1:18" ht="24">
      <c r="A2069" s="339">
        <v>65.37</v>
      </c>
      <c r="B2069" s="334" t="s">
        <v>3675</v>
      </c>
      <c r="C2069" s="340" t="s">
        <v>3676</v>
      </c>
      <c r="D2069" s="341">
        <v>5835.45</v>
      </c>
      <c r="E2069" s="341">
        <v>1116.52</v>
      </c>
      <c r="F2069" s="341">
        <v>12.59</v>
      </c>
      <c r="G2069" s="341">
        <v>4706.34</v>
      </c>
      <c r="H2069" s="342">
        <v>35354.19</v>
      </c>
      <c r="I2069" s="342">
        <v>14570.38</v>
      </c>
      <c r="J2069" s="342">
        <v>63.68</v>
      </c>
      <c r="K2069" s="342">
        <v>20720.13</v>
      </c>
      <c r="L2069" s="357">
        <v>6.0585199084903483</v>
      </c>
      <c r="M2069" s="357">
        <v>13.05</v>
      </c>
      <c r="N2069" s="357">
        <v>5.057982525814138</v>
      </c>
      <c r="O2069" s="357">
        <v>4.4025994722013282</v>
      </c>
      <c r="P2069" s="343"/>
      <c r="Q2069" s="343"/>
      <c r="R2069" s="343">
        <v>5</v>
      </c>
    </row>
    <row r="2070" spans="1:18" ht="24">
      <c r="A2070" s="339">
        <v>65.38</v>
      </c>
      <c r="B2070" s="334" t="s">
        <v>3677</v>
      </c>
      <c r="C2070" s="340" t="s">
        <v>3678</v>
      </c>
      <c r="D2070" s="341">
        <v>11194.96</v>
      </c>
      <c r="E2070" s="341">
        <v>1441.72</v>
      </c>
      <c r="F2070" s="341">
        <v>27.27</v>
      </c>
      <c r="G2070" s="341">
        <v>9725.9699999999993</v>
      </c>
      <c r="H2070" s="342">
        <v>65274.15</v>
      </c>
      <c r="I2070" s="342">
        <v>18814.18</v>
      </c>
      <c r="J2070" s="342">
        <v>137.97</v>
      </c>
      <c r="K2070" s="342">
        <v>46322</v>
      </c>
      <c r="L2070" s="357">
        <v>5.8306729099523364</v>
      </c>
      <c r="M2070" s="357">
        <v>13.05</v>
      </c>
      <c r="N2070" s="357">
        <v>5.0594059405940595</v>
      </c>
      <c r="O2070" s="357">
        <v>4.7627126137547213</v>
      </c>
      <c r="P2070" s="343"/>
      <c r="Q2070" s="343"/>
      <c r="R2070" s="343">
        <v>5</v>
      </c>
    </row>
    <row r="2071" spans="1:18">
      <c r="A2071" s="339">
        <v>65.39</v>
      </c>
      <c r="B2071" s="334" t="s">
        <v>3679</v>
      </c>
      <c r="C2071" s="340" t="s">
        <v>3680</v>
      </c>
      <c r="D2071" s="341">
        <v>3782.5</v>
      </c>
      <c r="E2071" s="341">
        <v>878.04</v>
      </c>
      <c r="F2071" s="341">
        <v>5.25</v>
      </c>
      <c r="G2071" s="341">
        <v>2899.21</v>
      </c>
      <c r="H2071" s="342">
        <v>22045.82</v>
      </c>
      <c r="I2071" s="342">
        <v>11458.26</v>
      </c>
      <c r="J2071" s="342">
        <v>26.53</v>
      </c>
      <c r="K2071" s="342">
        <v>10561.03</v>
      </c>
      <c r="L2071" s="357">
        <v>5.8283727693324519</v>
      </c>
      <c r="M2071" s="357">
        <v>13.05</v>
      </c>
      <c r="N2071" s="357">
        <v>5.0533333333333337</v>
      </c>
      <c r="O2071" s="357">
        <v>3.6427268117866594</v>
      </c>
      <c r="P2071" s="343"/>
      <c r="Q2071" s="343"/>
      <c r="R2071" s="343">
        <v>5</v>
      </c>
    </row>
    <row r="2072" spans="1:18">
      <c r="A2072" s="339">
        <v>65.400000000000006</v>
      </c>
      <c r="B2072" s="334" t="s">
        <v>3681</v>
      </c>
      <c r="C2072" s="340" t="s">
        <v>3682</v>
      </c>
      <c r="D2072" s="341">
        <v>4700.43</v>
      </c>
      <c r="E2072" s="341">
        <v>360.97</v>
      </c>
      <c r="F2072" s="341">
        <v>5.25</v>
      </c>
      <c r="G2072" s="341">
        <v>4334.21</v>
      </c>
      <c r="H2072" s="342">
        <v>17335.18</v>
      </c>
      <c r="I2072" s="342">
        <v>4710.62</v>
      </c>
      <c r="J2072" s="342">
        <v>26.53</v>
      </c>
      <c r="K2072" s="342">
        <v>12598.03</v>
      </c>
      <c r="L2072" s="357">
        <v>3.6879987575604782</v>
      </c>
      <c r="M2072" s="357">
        <v>13.05</v>
      </c>
      <c r="N2072" s="357">
        <v>5.0533333333333337</v>
      </c>
      <c r="O2072" s="357">
        <v>2.9066496547236982</v>
      </c>
      <c r="P2072" s="343"/>
      <c r="Q2072" s="343"/>
      <c r="R2072" s="343">
        <v>5</v>
      </c>
    </row>
    <row r="2073" spans="1:18">
      <c r="A2073" s="339">
        <v>65.41</v>
      </c>
      <c r="B2073" s="334" t="s">
        <v>3683</v>
      </c>
      <c r="C2073" s="340" t="s">
        <v>3684</v>
      </c>
      <c r="D2073" s="341">
        <v>25109.94</v>
      </c>
      <c r="E2073" s="341">
        <v>2891.03</v>
      </c>
      <c r="F2073" s="341">
        <v>14.69</v>
      </c>
      <c r="G2073" s="341">
        <v>22204.22</v>
      </c>
      <c r="H2073" s="342">
        <v>185325</v>
      </c>
      <c r="I2073" s="342">
        <v>37727.379999999997</v>
      </c>
      <c r="J2073" s="342">
        <v>74.290000000000006</v>
      </c>
      <c r="K2073" s="342">
        <v>147523.32999999999</v>
      </c>
      <c r="L2073" s="357">
        <v>7.3805433226841641</v>
      </c>
      <c r="M2073" s="357">
        <v>13.05</v>
      </c>
      <c r="N2073" s="357">
        <v>5.0571817562968011</v>
      </c>
      <c r="O2073" s="357">
        <v>6.6439320993937176</v>
      </c>
      <c r="P2073" s="343"/>
      <c r="Q2073" s="343"/>
      <c r="R2073" s="343">
        <v>5</v>
      </c>
    </row>
    <row r="2074" spans="1:18">
      <c r="A2074" s="339">
        <v>65.42</v>
      </c>
      <c r="B2074" s="334" t="s">
        <v>3685</v>
      </c>
      <c r="C2074" s="340" t="s">
        <v>3686</v>
      </c>
      <c r="D2074" s="341">
        <v>18656.66</v>
      </c>
      <c r="E2074" s="341">
        <v>2168</v>
      </c>
      <c r="F2074" s="341">
        <v>9.44</v>
      </c>
      <c r="G2074" s="341">
        <v>16479.22</v>
      </c>
      <c r="H2074" s="342">
        <v>134069.09</v>
      </c>
      <c r="I2074" s="342">
        <v>28292</v>
      </c>
      <c r="J2074" s="342">
        <v>47.76</v>
      </c>
      <c r="K2074" s="342">
        <v>105729.33</v>
      </c>
      <c r="L2074" s="357">
        <v>7.1861249548418638</v>
      </c>
      <c r="M2074" s="357">
        <v>13.05</v>
      </c>
      <c r="N2074" s="357">
        <v>5.0593220338983054</v>
      </c>
      <c r="O2074" s="357">
        <v>6.4159183505044535</v>
      </c>
      <c r="P2074" s="343"/>
      <c r="Q2074" s="343"/>
      <c r="R2074" s="343">
        <v>5</v>
      </c>
    </row>
    <row r="2075" spans="1:18">
      <c r="A2075" s="339">
        <v>65.430000000000007</v>
      </c>
      <c r="B2075" s="334" t="s">
        <v>3687</v>
      </c>
      <c r="C2075" s="340" t="s">
        <v>3688</v>
      </c>
      <c r="D2075" s="341">
        <v>35138.6</v>
      </c>
      <c r="E2075" s="341">
        <v>3338.72</v>
      </c>
      <c r="F2075" s="341">
        <v>167.84</v>
      </c>
      <c r="G2075" s="341">
        <v>31632.04</v>
      </c>
      <c r="H2075" s="342">
        <v>183560.99</v>
      </c>
      <c r="I2075" s="342">
        <v>43569.68</v>
      </c>
      <c r="J2075" s="342">
        <v>849.04</v>
      </c>
      <c r="K2075" s="342">
        <v>139142.26999999999</v>
      </c>
      <c r="L2075" s="357">
        <v>5.2239130187315377</v>
      </c>
      <c r="M2075" s="357">
        <v>13.05</v>
      </c>
      <c r="N2075" s="357">
        <v>5.0586272640610099</v>
      </c>
      <c r="O2075" s="357">
        <v>4.3987763672529496</v>
      </c>
      <c r="P2075" s="343"/>
      <c r="Q2075" s="343"/>
      <c r="R2075" s="343">
        <v>5</v>
      </c>
    </row>
    <row r="2076" spans="1:18">
      <c r="A2076" s="339">
        <v>65.44</v>
      </c>
      <c r="B2076" s="334" t="s">
        <v>3689</v>
      </c>
      <c r="C2076" s="340" t="s">
        <v>3690</v>
      </c>
      <c r="D2076" s="341">
        <v>63594.47</v>
      </c>
      <c r="E2076" s="341">
        <v>4574.4799999999996</v>
      </c>
      <c r="F2076" s="341">
        <v>440.58</v>
      </c>
      <c r="G2076" s="341">
        <v>58579.41</v>
      </c>
      <c r="H2076" s="342">
        <v>367405.49</v>
      </c>
      <c r="I2076" s="342">
        <v>59696.12</v>
      </c>
      <c r="J2076" s="342">
        <v>2228.73</v>
      </c>
      <c r="K2076" s="342">
        <v>305480.64</v>
      </c>
      <c r="L2076" s="357">
        <v>5.7773182165053028</v>
      </c>
      <c r="M2076" s="357">
        <v>13.05</v>
      </c>
      <c r="N2076" s="357">
        <v>5.0586272640610108</v>
      </c>
      <c r="O2076" s="357">
        <v>5.2148125083540444</v>
      </c>
      <c r="P2076" s="343"/>
      <c r="Q2076" s="343"/>
      <c r="R2076" s="343">
        <v>5</v>
      </c>
    </row>
    <row r="2077" spans="1:18">
      <c r="A2077" s="339">
        <v>65.45</v>
      </c>
      <c r="B2077" s="334" t="s">
        <v>3691</v>
      </c>
      <c r="C2077" s="340" t="s">
        <v>3692</v>
      </c>
      <c r="D2077" s="341">
        <v>113065.1</v>
      </c>
      <c r="E2077" s="341">
        <v>6438.96</v>
      </c>
      <c r="F2077" s="341">
        <v>660.87</v>
      </c>
      <c r="G2077" s="341">
        <v>105965.27</v>
      </c>
      <c r="H2077" s="342">
        <v>615405.39</v>
      </c>
      <c r="I2077" s="342">
        <v>84027.24</v>
      </c>
      <c r="J2077" s="342">
        <v>3343.1</v>
      </c>
      <c r="K2077" s="342">
        <v>528035.05000000005</v>
      </c>
      <c r="L2077" s="357">
        <v>5.4429296927168505</v>
      </c>
      <c r="M2077" s="357">
        <v>13.05</v>
      </c>
      <c r="N2077" s="357">
        <v>5.0586348298455066</v>
      </c>
      <c r="O2077" s="357">
        <v>4.9830954047491227</v>
      </c>
      <c r="P2077" s="343"/>
      <c r="Q2077" s="343"/>
      <c r="R2077" s="343">
        <v>5</v>
      </c>
    </row>
    <row r="2078" spans="1:18" ht="12.75">
      <c r="A2078" s="426" t="s">
        <v>3693</v>
      </c>
      <c r="B2078" s="427"/>
      <c r="C2078" s="427"/>
      <c r="D2078" s="427"/>
      <c r="E2078" s="427"/>
      <c r="F2078" s="427"/>
      <c r="G2078" s="427"/>
      <c r="H2078" s="427"/>
      <c r="I2078" s="427"/>
      <c r="J2078" s="427"/>
      <c r="K2078" s="427"/>
      <c r="L2078" s="427"/>
      <c r="M2078" s="427"/>
      <c r="N2078" s="427"/>
      <c r="O2078" s="427"/>
      <c r="P2078" s="427"/>
      <c r="Q2078" s="427"/>
      <c r="R2078" s="427"/>
    </row>
    <row r="2079" spans="1:18">
      <c r="A2079" s="339">
        <v>65.459999999999994</v>
      </c>
      <c r="B2079" s="334" t="s">
        <v>3694</v>
      </c>
      <c r="C2079" s="340" t="s">
        <v>3695</v>
      </c>
      <c r="D2079" s="341">
        <v>16159.36</v>
      </c>
      <c r="E2079" s="341">
        <v>1040.6400000000001</v>
      </c>
      <c r="F2079" s="341">
        <v>46.7</v>
      </c>
      <c r="G2079" s="341">
        <v>15072.02</v>
      </c>
      <c r="H2079" s="342">
        <v>76358.66</v>
      </c>
      <c r="I2079" s="342">
        <v>13580.16</v>
      </c>
      <c r="J2079" s="342">
        <v>266.82</v>
      </c>
      <c r="K2079" s="342">
        <v>62511.68</v>
      </c>
      <c r="L2079" s="357">
        <v>4.7253517466038257</v>
      </c>
      <c r="M2079" s="357">
        <v>13.05</v>
      </c>
      <c r="N2079" s="357">
        <v>5.7134903640256951</v>
      </c>
      <c r="O2079" s="357">
        <v>4.1475316513645817</v>
      </c>
      <c r="P2079" s="343"/>
      <c r="Q2079" s="343"/>
      <c r="R2079" s="343">
        <v>6</v>
      </c>
    </row>
    <row r="2080" spans="1:18">
      <c r="A2080" s="339">
        <v>65.47</v>
      </c>
      <c r="B2080" s="334" t="s">
        <v>3696</v>
      </c>
      <c r="C2080" s="340" t="s">
        <v>3697</v>
      </c>
      <c r="D2080" s="341">
        <v>21731.83</v>
      </c>
      <c r="E2080" s="341">
        <v>2536.56</v>
      </c>
      <c r="F2080" s="341">
        <v>79.25</v>
      </c>
      <c r="G2080" s="341">
        <v>19116.02</v>
      </c>
      <c r="H2080" s="342">
        <v>112799.67</v>
      </c>
      <c r="I2080" s="342">
        <v>33101.64</v>
      </c>
      <c r="J2080" s="342">
        <v>452.78</v>
      </c>
      <c r="K2080" s="342">
        <v>79245.25</v>
      </c>
      <c r="L2080" s="357">
        <v>5.1905279030804117</v>
      </c>
      <c r="M2080" s="357">
        <v>13.05</v>
      </c>
      <c r="N2080" s="357">
        <v>5.7133123028391166</v>
      </c>
      <c r="O2080" s="357">
        <v>4.1454889668456092</v>
      </c>
      <c r="P2080" s="343"/>
      <c r="Q2080" s="343"/>
      <c r="R2080" s="343">
        <v>6</v>
      </c>
    </row>
    <row r="2081" spans="1:18">
      <c r="A2081" s="339">
        <v>65.48</v>
      </c>
      <c r="B2081" s="334" t="s">
        <v>3698</v>
      </c>
      <c r="C2081" s="340" t="s">
        <v>3699</v>
      </c>
      <c r="D2081" s="341">
        <v>4178.8500000000004</v>
      </c>
      <c r="E2081" s="341">
        <v>827.09</v>
      </c>
      <c r="F2081" s="341">
        <v>19.45</v>
      </c>
      <c r="G2081" s="341">
        <v>3332.31</v>
      </c>
      <c r="H2081" s="342">
        <v>30685.33</v>
      </c>
      <c r="I2081" s="342">
        <v>10793.4</v>
      </c>
      <c r="J2081" s="342">
        <v>110.42</v>
      </c>
      <c r="K2081" s="342">
        <v>19781.509999999998</v>
      </c>
      <c r="L2081" s="357">
        <v>7.3430082438948512</v>
      </c>
      <c r="M2081" s="357">
        <v>13.05</v>
      </c>
      <c r="N2081" s="357">
        <v>5.6771208226221086</v>
      </c>
      <c r="O2081" s="357">
        <v>5.9362754365590229</v>
      </c>
      <c r="P2081" s="343"/>
      <c r="Q2081" s="343"/>
      <c r="R2081" s="343">
        <v>6</v>
      </c>
    </row>
    <row r="2082" spans="1:18">
      <c r="A2082" s="339">
        <v>65.489999999999995</v>
      </c>
      <c r="B2082" s="334" t="s">
        <v>3700</v>
      </c>
      <c r="C2082" s="340" t="s">
        <v>3701</v>
      </c>
      <c r="D2082" s="341">
        <v>17387.95</v>
      </c>
      <c r="E2082" s="341">
        <v>1159.8800000000001</v>
      </c>
      <c r="F2082" s="341">
        <v>14.15</v>
      </c>
      <c r="G2082" s="341">
        <v>16213.92</v>
      </c>
      <c r="H2082" s="342">
        <v>75290.63</v>
      </c>
      <c r="I2082" s="342">
        <v>15136.22</v>
      </c>
      <c r="J2082" s="342">
        <v>80.86</v>
      </c>
      <c r="K2082" s="342">
        <v>60073.55</v>
      </c>
      <c r="L2082" s="357">
        <v>4.3300463826960627</v>
      </c>
      <c r="M2082" s="357">
        <v>13.05</v>
      </c>
      <c r="N2082" s="357">
        <v>5.7144876325088338</v>
      </c>
      <c r="O2082" s="357">
        <v>3.7050602198604659</v>
      </c>
      <c r="P2082" s="343"/>
      <c r="Q2082" s="343"/>
      <c r="R2082" s="343">
        <v>6</v>
      </c>
    </row>
    <row r="2083" spans="1:18">
      <c r="A2083" s="339">
        <v>65.5</v>
      </c>
      <c r="B2083" s="334" t="s">
        <v>3702</v>
      </c>
      <c r="C2083" s="340" t="s">
        <v>3703</v>
      </c>
      <c r="D2083" s="341">
        <v>5337.08</v>
      </c>
      <c r="E2083" s="341">
        <v>867.2</v>
      </c>
      <c r="F2083" s="341">
        <v>3.88</v>
      </c>
      <c r="G2083" s="341">
        <v>4466</v>
      </c>
      <c r="H2083" s="342">
        <v>36064.28</v>
      </c>
      <c r="I2083" s="342">
        <v>11316.8</v>
      </c>
      <c r="J2083" s="342">
        <v>21.48</v>
      </c>
      <c r="K2083" s="342">
        <v>24726</v>
      </c>
      <c r="L2083" s="357">
        <v>6.7573054928912439</v>
      </c>
      <c r="M2083" s="357">
        <v>13.05</v>
      </c>
      <c r="N2083" s="357">
        <v>5.536082474226804</v>
      </c>
      <c r="O2083" s="357">
        <v>5.5364979847738471</v>
      </c>
      <c r="P2083" s="343"/>
      <c r="Q2083" s="343"/>
      <c r="R2083" s="343">
        <v>6</v>
      </c>
    </row>
    <row r="2084" spans="1:18">
      <c r="A2084" s="339">
        <v>65.510000000000005</v>
      </c>
      <c r="B2084" s="334" t="s">
        <v>3704</v>
      </c>
      <c r="C2084" s="340" t="s">
        <v>3705</v>
      </c>
      <c r="D2084" s="341">
        <v>1360.63</v>
      </c>
      <c r="E2084" s="341">
        <v>867.2</v>
      </c>
      <c r="F2084" s="341">
        <v>3.88</v>
      </c>
      <c r="G2084" s="341">
        <v>489.55</v>
      </c>
      <c r="H2084" s="342">
        <v>13424.06</v>
      </c>
      <c r="I2084" s="342">
        <v>11316.8</v>
      </c>
      <c r="J2084" s="342">
        <v>21.48</v>
      </c>
      <c r="K2084" s="342">
        <v>2085.7800000000002</v>
      </c>
      <c r="L2084" s="357">
        <v>9.8660620447880749</v>
      </c>
      <c r="M2084" s="357">
        <v>13.05</v>
      </c>
      <c r="N2084" s="357">
        <v>5.536082474226804</v>
      </c>
      <c r="O2084" s="357">
        <v>4.2606066796037183</v>
      </c>
      <c r="P2084" s="343"/>
      <c r="Q2084" s="343"/>
      <c r="R2084" s="343">
        <v>6</v>
      </c>
    </row>
    <row r="2085" spans="1:18">
      <c r="A2085" s="339">
        <v>65.52</v>
      </c>
      <c r="B2085" s="334" t="s">
        <v>3706</v>
      </c>
      <c r="C2085" s="340" t="s">
        <v>3707</v>
      </c>
      <c r="D2085" s="341">
        <v>4469.2</v>
      </c>
      <c r="E2085" s="341">
        <v>1084</v>
      </c>
      <c r="F2085" s="341">
        <v>7.08</v>
      </c>
      <c r="G2085" s="341">
        <v>3378.12</v>
      </c>
      <c r="H2085" s="342">
        <v>22641.3</v>
      </c>
      <c r="I2085" s="342">
        <v>14146</v>
      </c>
      <c r="J2085" s="342">
        <v>40.43</v>
      </c>
      <c r="K2085" s="342">
        <v>8454.8700000000008</v>
      </c>
      <c r="L2085" s="357">
        <v>5.0660744652286764</v>
      </c>
      <c r="M2085" s="357">
        <v>13.05</v>
      </c>
      <c r="N2085" s="357">
        <v>5.7104519774011298</v>
      </c>
      <c r="O2085" s="357">
        <v>2.5028329366629962</v>
      </c>
      <c r="P2085" s="343"/>
      <c r="Q2085" s="343"/>
      <c r="R2085" s="343">
        <v>6</v>
      </c>
    </row>
    <row r="2086" spans="1:18">
      <c r="A2086" s="339">
        <v>65.53</v>
      </c>
      <c r="B2086" s="334" t="s">
        <v>3708</v>
      </c>
      <c r="C2086" s="340" t="s">
        <v>3709</v>
      </c>
      <c r="D2086" s="341">
        <v>1428.86</v>
      </c>
      <c r="E2086" s="341">
        <v>455.28</v>
      </c>
      <c r="F2086" s="341">
        <v>7.08</v>
      </c>
      <c r="G2086" s="341">
        <v>966.5</v>
      </c>
      <c r="H2086" s="342">
        <v>9491.81</v>
      </c>
      <c r="I2086" s="342">
        <v>5941.32</v>
      </c>
      <c r="J2086" s="342">
        <v>40.43</v>
      </c>
      <c r="K2086" s="342">
        <v>3510.06</v>
      </c>
      <c r="L2086" s="357">
        <v>6.6429251291239169</v>
      </c>
      <c r="M2086" s="357">
        <v>13.05</v>
      </c>
      <c r="N2086" s="357">
        <v>5.7104519774011298</v>
      </c>
      <c r="O2086" s="357">
        <v>3.631722710812209</v>
      </c>
      <c r="P2086" s="343"/>
      <c r="Q2086" s="343"/>
      <c r="R2086" s="343">
        <v>6</v>
      </c>
    </row>
    <row r="2087" spans="1:18">
      <c r="A2087" s="339">
        <v>65.540000000000006</v>
      </c>
      <c r="B2087" s="334" t="s">
        <v>3710</v>
      </c>
      <c r="C2087" s="340" t="s">
        <v>3711</v>
      </c>
      <c r="D2087" s="341">
        <v>23942.720000000001</v>
      </c>
      <c r="E2087" s="341">
        <v>1084</v>
      </c>
      <c r="F2087" s="341">
        <v>52.72</v>
      </c>
      <c r="G2087" s="341">
        <v>22806</v>
      </c>
      <c r="H2087" s="342">
        <v>93041.94</v>
      </c>
      <c r="I2087" s="342">
        <v>14146</v>
      </c>
      <c r="J2087" s="342">
        <v>301.94</v>
      </c>
      <c r="K2087" s="342">
        <v>78594</v>
      </c>
      <c r="L2087" s="357">
        <v>3.8860221395062884</v>
      </c>
      <c r="M2087" s="357">
        <v>13.05</v>
      </c>
      <c r="N2087" s="357">
        <v>5.7272382397572077</v>
      </c>
      <c r="O2087" s="357">
        <v>3.4461983688503026</v>
      </c>
      <c r="P2087" s="343"/>
      <c r="Q2087" s="343"/>
      <c r="R2087" s="343">
        <v>6</v>
      </c>
    </row>
    <row r="2088" spans="1:18">
      <c r="A2088" s="339">
        <v>65.55</v>
      </c>
      <c r="B2088" s="334" t="s">
        <v>3712</v>
      </c>
      <c r="C2088" s="340" t="s">
        <v>3713</v>
      </c>
      <c r="D2088" s="341">
        <v>2904.1</v>
      </c>
      <c r="E2088" s="341">
        <v>568.02</v>
      </c>
      <c r="F2088" s="341">
        <v>7.08</v>
      </c>
      <c r="G2088" s="341">
        <v>2329</v>
      </c>
      <c r="H2088" s="342">
        <v>16531.93</v>
      </c>
      <c r="I2088" s="342">
        <v>7412.5</v>
      </c>
      <c r="J2088" s="342">
        <v>40.43</v>
      </c>
      <c r="K2088" s="342">
        <v>9079</v>
      </c>
      <c r="L2088" s="357">
        <v>5.6926173341138391</v>
      </c>
      <c r="M2088" s="357">
        <v>13.05</v>
      </c>
      <c r="N2088" s="357">
        <v>5.7104519774011298</v>
      </c>
      <c r="O2088" s="357">
        <v>3.8982395878059255</v>
      </c>
      <c r="P2088" s="343"/>
      <c r="Q2088" s="343"/>
      <c r="R2088" s="343">
        <v>6</v>
      </c>
    </row>
    <row r="2089" spans="1:18">
      <c r="A2089" s="339">
        <v>65.56</v>
      </c>
      <c r="B2089" s="334" t="s">
        <v>3714</v>
      </c>
      <c r="C2089" s="340" t="s">
        <v>3715</v>
      </c>
      <c r="D2089" s="341">
        <v>42219.87</v>
      </c>
      <c r="E2089" s="341">
        <v>1084</v>
      </c>
      <c r="F2089" s="341">
        <v>28.3</v>
      </c>
      <c r="G2089" s="341">
        <v>41107.57</v>
      </c>
      <c r="H2089" s="342">
        <v>224126.8</v>
      </c>
      <c r="I2089" s="342">
        <v>14146</v>
      </c>
      <c r="J2089" s="342">
        <v>161.71</v>
      </c>
      <c r="K2089" s="342">
        <v>209819.09</v>
      </c>
      <c r="L2089" s="357">
        <v>5.3085620585757365</v>
      </c>
      <c r="M2089" s="357">
        <v>13.05</v>
      </c>
      <c r="N2089" s="357">
        <v>5.7141342756183748</v>
      </c>
      <c r="O2089" s="357">
        <v>5.1041472410069479</v>
      </c>
      <c r="P2089" s="343"/>
      <c r="Q2089" s="343"/>
      <c r="R2089" s="343">
        <v>6</v>
      </c>
    </row>
    <row r="2090" spans="1:18">
      <c r="A2090" s="339">
        <v>65.569999999999993</v>
      </c>
      <c r="B2090" s="334" t="s">
        <v>3716</v>
      </c>
      <c r="C2090" s="340" t="s">
        <v>3717</v>
      </c>
      <c r="D2090" s="341">
        <v>41674.93</v>
      </c>
      <c r="E2090" s="341">
        <v>4473.67</v>
      </c>
      <c r="F2090" s="341">
        <v>106.13</v>
      </c>
      <c r="G2090" s="341">
        <v>37095.129999999997</v>
      </c>
      <c r="H2090" s="342">
        <v>317672.83</v>
      </c>
      <c r="I2090" s="342">
        <v>58380.54</v>
      </c>
      <c r="J2090" s="342">
        <v>606.41999999999996</v>
      </c>
      <c r="K2090" s="342">
        <v>258685.87</v>
      </c>
      <c r="L2090" s="357">
        <v>7.6226361987890563</v>
      </c>
      <c r="M2090" s="357">
        <v>13.05</v>
      </c>
      <c r="N2090" s="357">
        <v>5.7139357391877885</v>
      </c>
      <c r="O2090" s="357">
        <v>6.9735803594703674</v>
      </c>
      <c r="P2090" s="343"/>
      <c r="Q2090" s="343"/>
      <c r="R2090" s="343">
        <v>6</v>
      </c>
    </row>
    <row r="2091" spans="1:18">
      <c r="A2091" s="339">
        <v>65.58</v>
      </c>
      <c r="B2091" s="334" t="s">
        <v>3718</v>
      </c>
      <c r="C2091" s="340" t="s">
        <v>3719</v>
      </c>
      <c r="D2091" s="341">
        <v>67836.78</v>
      </c>
      <c r="E2091" s="341">
        <v>19917.419999999998</v>
      </c>
      <c r="F2091" s="341">
        <v>127.36</v>
      </c>
      <c r="G2091" s="341">
        <v>47792</v>
      </c>
      <c r="H2091" s="342">
        <v>723155.35</v>
      </c>
      <c r="I2091" s="342">
        <v>259918.6</v>
      </c>
      <c r="J2091" s="342">
        <v>727.7</v>
      </c>
      <c r="K2091" s="342">
        <v>462509.05</v>
      </c>
      <c r="L2091" s="357">
        <v>10.660225175782223</v>
      </c>
      <c r="M2091" s="357">
        <v>13.05</v>
      </c>
      <c r="N2091" s="357">
        <v>5.7137248743718594</v>
      </c>
      <c r="O2091" s="357">
        <v>9.6775412202879139</v>
      </c>
      <c r="P2091" s="343"/>
      <c r="Q2091" s="343"/>
      <c r="R2091" s="343">
        <v>6</v>
      </c>
    </row>
    <row r="2092" spans="1:18">
      <c r="A2092" s="339">
        <v>65.59</v>
      </c>
      <c r="B2092" s="334" t="s">
        <v>3720</v>
      </c>
      <c r="C2092" s="340" t="s">
        <v>3721</v>
      </c>
      <c r="D2092" s="341">
        <v>27154.82</v>
      </c>
      <c r="E2092" s="341">
        <v>3844.95</v>
      </c>
      <c r="F2092" s="341">
        <v>56.6</v>
      </c>
      <c r="G2092" s="341">
        <v>23253.27</v>
      </c>
      <c r="H2092" s="342">
        <v>159761.97</v>
      </c>
      <c r="I2092" s="342">
        <v>50175.86</v>
      </c>
      <c r="J2092" s="342">
        <v>323.42</v>
      </c>
      <c r="K2092" s="342">
        <v>109262.69</v>
      </c>
      <c r="L2092" s="357">
        <v>5.8833742959813398</v>
      </c>
      <c r="M2092" s="357">
        <v>13.05</v>
      </c>
      <c r="N2092" s="357">
        <v>5.7141342756183748</v>
      </c>
      <c r="O2092" s="357">
        <v>4.6988096727901061</v>
      </c>
      <c r="P2092" s="343"/>
      <c r="Q2092" s="343"/>
      <c r="R2092" s="343">
        <v>6</v>
      </c>
    </row>
    <row r="2093" spans="1:18">
      <c r="A2093" s="339">
        <v>65.599999999999994</v>
      </c>
      <c r="B2093" s="334" t="s">
        <v>3722</v>
      </c>
      <c r="C2093" s="340" t="s">
        <v>3723</v>
      </c>
      <c r="D2093" s="341">
        <v>36356.160000000003</v>
      </c>
      <c r="E2093" s="341">
        <v>3549.02</v>
      </c>
      <c r="F2093" s="341">
        <v>99.06</v>
      </c>
      <c r="G2093" s="341">
        <v>32708.080000000002</v>
      </c>
      <c r="H2093" s="342">
        <v>133656.82</v>
      </c>
      <c r="I2093" s="342">
        <v>46314</v>
      </c>
      <c r="J2093" s="342">
        <v>565.99</v>
      </c>
      <c r="K2093" s="342">
        <v>86776.83</v>
      </c>
      <c r="L2093" s="357">
        <v>3.6763184010632584</v>
      </c>
      <c r="M2093" s="357">
        <v>13.05</v>
      </c>
      <c r="N2093" s="357">
        <v>5.7136079143953156</v>
      </c>
      <c r="O2093" s="357">
        <v>2.6530701282374261</v>
      </c>
      <c r="P2093" s="343"/>
      <c r="Q2093" s="343"/>
      <c r="R2093" s="343">
        <v>6</v>
      </c>
    </row>
    <row r="2094" spans="1:18">
      <c r="A2094" s="339">
        <v>65.61</v>
      </c>
      <c r="B2094" s="334" t="s">
        <v>3724</v>
      </c>
      <c r="C2094" s="340" t="s">
        <v>3725</v>
      </c>
      <c r="D2094" s="341">
        <v>85090.4</v>
      </c>
      <c r="E2094" s="341">
        <v>4418.38</v>
      </c>
      <c r="F2094" s="341">
        <v>127.36</v>
      </c>
      <c r="G2094" s="341">
        <v>80544.66</v>
      </c>
      <c r="H2094" s="342">
        <v>276291.40000000002</v>
      </c>
      <c r="I2094" s="342">
        <v>57659.1</v>
      </c>
      <c r="J2094" s="342">
        <v>727.7</v>
      </c>
      <c r="K2094" s="342">
        <v>217904.6</v>
      </c>
      <c r="L2094" s="357">
        <v>3.247033742936924</v>
      </c>
      <c r="M2094" s="357">
        <v>13.05</v>
      </c>
      <c r="N2094" s="357">
        <v>5.7137248743718594</v>
      </c>
      <c r="O2094" s="357">
        <v>2.705388538482874</v>
      </c>
      <c r="P2094" s="343"/>
      <c r="Q2094" s="343"/>
      <c r="R2094" s="343">
        <v>6</v>
      </c>
    </row>
    <row r="2095" spans="1:18">
      <c r="A2095" s="339">
        <v>65.62</v>
      </c>
      <c r="B2095" s="334" t="s">
        <v>3726</v>
      </c>
      <c r="C2095" s="340" t="s">
        <v>3727</v>
      </c>
      <c r="D2095" s="341">
        <v>159713.03</v>
      </c>
      <c r="E2095" s="341">
        <v>6367.42</v>
      </c>
      <c r="F2095" s="341">
        <v>523.59</v>
      </c>
      <c r="G2095" s="341">
        <v>152822.01999999999</v>
      </c>
      <c r="H2095" s="342">
        <v>939582.15</v>
      </c>
      <c r="I2095" s="342">
        <v>83093.600000000006</v>
      </c>
      <c r="J2095" s="342">
        <v>2991.64</v>
      </c>
      <c r="K2095" s="342">
        <v>853496.91</v>
      </c>
      <c r="L2095" s="357">
        <v>5.8829398578187391</v>
      </c>
      <c r="M2095" s="357">
        <v>13.05</v>
      </c>
      <c r="N2095" s="357">
        <v>5.7137072900551953</v>
      </c>
      <c r="O2095" s="357">
        <v>5.5849079209920145</v>
      </c>
      <c r="P2095" s="343"/>
      <c r="Q2095" s="343"/>
      <c r="R2095" s="343">
        <v>6</v>
      </c>
    </row>
    <row r="2096" spans="1:18">
      <c r="A2096" s="339">
        <v>65.63</v>
      </c>
      <c r="B2096" s="334" t="s">
        <v>3728</v>
      </c>
      <c r="C2096" s="340" t="s">
        <v>3729</v>
      </c>
      <c r="D2096" s="341">
        <v>116581.2</v>
      </c>
      <c r="E2096" s="341">
        <v>5769.05</v>
      </c>
      <c r="F2096" s="341">
        <v>481.13</v>
      </c>
      <c r="G2096" s="341">
        <v>110331.02</v>
      </c>
      <c r="H2096" s="342">
        <v>486257.99</v>
      </c>
      <c r="I2096" s="342">
        <v>75285.009999999995</v>
      </c>
      <c r="J2096" s="342">
        <v>2749.07</v>
      </c>
      <c r="K2096" s="342">
        <v>408223.91</v>
      </c>
      <c r="L2096" s="357">
        <v>4.170981170205831</v>
      </c>
      <c r="M2096" s="357">
        <v>13.05</v>
      </c>
      <c r="N2096" s="357">
        <v>5.713777981003056</v>
      </c>
      <c r="O2096" s="357">
        <v>3.6999921690200992</v>
      </c>
      <c r="P2096" s="343"/>
      <c r="Q2096" s="343"/>
      <c r="R2096" s="343">
        <v>6</v>
      </c>
    </row>
    <row r="2097" spans="1:18">
      <c r="A2097" s="339">
        <v>65.64</v>
      </c>
      <c r="B2097" s="334" t="s">
        <v>3730</v>
      </c>
      <c r="C2097" s="340" t="s">
        <v>3731</v>
      </c>
      <c r="D2097" s="341">
        <v>14930.91</v>
      </c>
      <c r="E2097" s="341">
        <v>2073.69</v>
      </c>
      <c r="F2097" s="341">
        <v>99.06</v>
      </c>
      <c r="G2097" s="341">
        <v>12758.16</v>
      </c>
      <c r="H2097" s="342">
        <v>71132.08</v>
      </c>
      <c r="I2097" s="342">
        <v>27061.3</v>
      </c>
      <c r="J2097" s="342">
        <v>565.99</v>
      </c>
      <c r="K2097" s="342">
        <v>43504.79</v>
      </c>
      <c r="L2097" s="357">
        <v>4.7640820284898915</v>
      </c>
      <c r="M2097" s="357">
        <v>13.05</v>
      </c>
      <c r="N2097" s="357">
        <v>5.7136079143953156</v>
      </c>
      <c r="O2097" s="357">
        <v>3.4099580190246872</v>
      </c>
      <c r="P2097" s="343"/>
      <c r="Q2097" s="343"/>
      <c r="R2097" s="343">
        <v>6</v>
      </c>
    </row>
    <row r="2098" spans="1:18">
      <c r="A2098" s="339">
        <v>65.650000000000006</v>
      </c>
      <c r="B2098" s="334" t="s">
        <v>3732</v>
      </c>
      <c r="C2098" s="340" t="s">
        <v>3733</v>
      </c>
      <c r="D2098" s="341">
        <v>7947.66</v>
      </c>
      <c r="E2098" s="341">
        <v>1514.35</v>
      </c>
      <c r="F2098" s="341">
        <v>29.72</v>
      </c>
      <c r="G2098" s="341">
        <v>6403.59</v>
      </c>
      <c r="H2098" s="342">
        <v>81394.649999999994</v>
      </c>
      <c r="I2098" s="342">
        <v>19761.96</v>
      </c>
      <c r="J2098" s="342">
        <v>169.8</v>
      </c>
      <c r="K2098" s="342">
        <v>61462.89</v>
      </c>
      <c r="L2098" s="357">
        <v>10.241335185450811</v>
      </c>
      <c r="M2098" s="357">
        <v>13.05</v>
      </c>
      <c r="N2098" s="357">
        <v>5.7133243606998656</v>
      </c>
      <c r="O2098" s="357">
        <v>9.5981925763517015</v>
      </c>
      <c r="P2098" s="343"/>
      <c r="Q2098" s="343"/>
      <c r="R2098" s="343">
        <v>6</v>
      </c>
    </row>
    <row r="2099" spans="1:18">
      <c r="A2099" s="339">
        <v>65.66</v>
      </c>
      <c r="B2099" s="334" t="s">
        <v>3734</v>
      </c>
      <c r="C2099" s="340" t="s">
        <v>3735</v>
      </c>
      <c r="D2099" s="341">
        <v>175838.76</v>
      </c>
      <c r="E2099" s="341">
        <v>2544.15</v>
      </c>
      <c r="F2099" s="341">
        <v>115.39</v>
      </c>
      <c r="G2099" s="341">
        <v>173179.22</v>
      </c>
      <c r="H2099" s="342">
        <v>752777.36</v>
      </c>
      <c r="I2099" s="342">
        <v>33200.660000000003</v>
      </c>
      <c r="J2099" s="342">
        <v>583.72</v>
      </c>
      <c r="K2099" s="342">
        <v>718992.98</v>
      </c>
      <c r="L2099" s="357">
        <v>4.2810661312670764</v>
      </c>
      <c r="M2099" s="357">
        <v>13.05</v>
      </c>
      <c r="N2099" s="357">
        <v>5.0586705953722158</v>
      </c>
      <c r="O2099" s="357">
        <v>4.151727788126081</v>
      </c>
      <c r="P2099" s="343"/>
      <c r="Q2099" s="343"/>
      <c r="R2099" s="343">
        <v>6</v>
      </c>
    </row>
    <row r="2100" spans="1:18">
      <c r="A2100" s="339">
        <v>65.67</v>
      </c>
      <c r="B2100" s="334" t="s">
        <v>3736</v>
      </c>
      <c r="C2100" s="340" t="s">
        <v>3737</v>
      </c>
      <c r="D2100" s="341">
        <v>282602.15999999997</v>
      </c>
      <c r="E2100" s="341">
        <v>4002.13</v>
      </c>
      <c r="F2100" s="341">
        <v>188.82</v>
      </c>
      <c r="G2100" s="341">
        <v>278411.21000000002</v>
      </c>
      <c r="H2100" s="342">
        <v>1208990.03</v>
      </c>
      <c r="I2100" s="342">
        <v>52227.03</v>
      </c>
      <c r="J2100" s="342">
        <v>955.17</v>
      </c>
      <c r="K2100" s="342">
        <v>1155807.83</v>
      </c>
      <c r="L2100" s="357">
        <v>4.2780636566967507</v>
      </c>
      <c r="M2100" s="357">
        <v>13.05</v>
      </c>
      <c r="N2100" s="357">
        <v>5.0586272640610108</v>
      </c>
      <c r="O2100" s="357">
        <v>4.1514414236409518</v>
      </c>
      <c r="P2100" s="343"/>
      <c r="Q2100" s="343"/>
      <c r="R2100" s="343">
        <v>6</v>
      </c>
    </row>
    <row r="2101" spans="1:18">
      <c r="A2101" s="339">
        <v>65.680000000000007</v>
      </c>
      <c r="B2101" s="334" t="s">
        <v>3738</v>
      </c>
      <c r="C2101" s="340" t="s">
        <v>3739</v>
      </c>
      <c r="D2101" s="341">
        <v>35950.839999999997</v>
      </c>
      <c r="E2101" s="341">
        <v>5326.78</v>
      </c>
      <c r="F2101" s="341">
        <v>77.83</v>
      </c>
      <c r="G2101" s="341">
        <v>30546.23</v>
      </c>
      <c r="H2101" s="342">
        <v>163587.9</v>
      </c>
      <c r="I2101" s="342">
        <v>69513.440000000002</v>
      </c>
      <c r="J2101" s="342">
        <v>444.71</v>
      </c>
      <c r="K2101" s="342">
        <v>93629.75</v>
      </c>
      <c r="L2101" s="357">
        <v>4.550322050889493</v>
      </c>
      <c r="M2101" s="357">
        <v>13.05</v>
      </c>
      <c r="N2101" s="357">
        <v>5.7138635487601181</v>
      </c>
      <c r="O2101" s="357">
        <v>3.0651818571391627</v>
      </c>
      <c r="P2101" s="343"/>
      <c r="Q2101" s="343"/>
      <c r="R2101" s="343">
        <v>6</v>
      </c>
    </row>
    <row r="2102" spans="1:18">
      <c r="A2102" s="339">
        <v>65.69</v>
      </c>
      <c r="B2102" s="334" t="s">
        <v>3740</v>
      </c>
      <c r="C2102" s="340" t="s">
        <v>3741</v>
      </c>
      <c r="D2102" s="341">
        <v>18181.599999999999</v>
      </c>
      <c r="E2102" s="341">
        <v>2298.08</v>
      </c>
      <c r="F2102" s="341">
        <v>99.06</v>
      </c>
      <c r="G2102" s="341">
        <v>15784.46</v>
      </c>
      <c r="H2102" s="342">
        <v>114208.24</v>
      </c>
      <c r="I2102" s="342">
        <v>29989.52</v>
      </c>
      <c r="J2102" s="342">
        <v>565.99</v>
      </c>
      <c r="K2102" s="342">
        <v>83652.73</v>
      </c>
      <c r="L2102" s="357">
        <v>6.2815285783429413</v>
      </c>
      <c r="M2102" s="357">
        <v>13.05</v>
      </c>
      <c r="N2102" s="357">
        <v>5.7136079143953156</v>
      </c>
      <c r="O2102" s="357">
        <v>5.2996890612665872</v>
      </c>
      <c r="P2102" s="343"/>
      <c r="Q2102" s="343"/>
      <c r="R2102" s="343">
        <v>6</v>
      </c>
    </row>
    <row r="2103" spans="1:18">
      <c r="A2103" s="339">
        <v>65.7</v>
      </c>
      <c r="B2103" s="334" t="s">
        <v>3742</v>
      </c>
      <c r="C2103" s="340" t="s">
        <v>3743</v>
      </c>
      <c r="D2103" s="341">
        <v>4898.17</v>
      </c>
      <c r="E2103" s="341">
        <v>977.88</v>
      </c>
      <c r="F2103" s="341">
        <v>7.08</v>
      </c>
      <c r="G2103" s="341">
        <v>3913.21</v>
      </c>
      <c r="H2103" s="342">
        <v>26015.62</v>
      </c>
      <c r="I2103" s="342">
        <v>12761.16</v>
      </c>
      <c r="J2103" s="342">
        <v>40.43</v>
      </c>
      <c r="K2103" s="342">
        <v>13214.03</v>
      </c>
      <c r="L2103" s="357">
        <v>5.3112938097289391</v>
      </c>
      <c r="M2103" s="357">
        <v>13.05</v>
      </c>
      <c r="N2103" s="357">
        <v>5.7104519774011298</v>
      </c>
      <c r="O2103" s="357">
        <v>3.37677507723838</v>
      </c>
      <c r="P2103" s="343"/>
      <c r="Q2103" s="343"/>
      <c r="R2103" s="343">
        <v>6</v>
      </c>
    </row>
    <row r="2104" spans="1:18">
      <c r="A2104" s="339">
        <v>65.709999999999994</v>
      </c>
      <c r="B2104" s="334" t="s">
        <v>3744</v>
      </c>
      <c r="C2104" s="340" t="s">
        <v>3745</v>
      </c>
      <c r="D2104" s="341">
        <v>300.11</v>
      </c>
      <c r="E2104" s="341">
        <v>300.11</v>
      </c>
      <c r="F2104" s="341"/>
      <c r="G2104" s="341"/>
      <c r="H2104" s="342">
        <v>3916.36</v>
      </c>
      <c r="I2104" s="342">
        <v>3916.36</v>
      </c>
      <c r="J2104" s="342"/>
      <c r="K2104" s="342"/>
      <c r="L2104" s="357">
        <v>13.049748425577288</v>
      </c>
      <c r="M2104" s="357">
        <v>13.05</v>
      </c>
      <c r="N2104" s="357" t="s">
        <v>135</v>
      </c>
      <c r="O2104" s="357" t="s">
        <v>135</v>
      </c>
      <c r="P2104" s="343"/>
      <c r="Q2104" s="343"/>
      <c r="R2104" s="343">
        <v>6</v>
      </c>
    </row>
    <row r="2105" spans="1:18" ht="12.75">
      <c r="A2105" s="426" t="s">
        <v>3746</v>
      </c>
      <c r="B2105" s="427"/>
      <c r="C2105" s="427"/>
      <c r="D2105" s="427"/>
      <c r="E2105" s="427"/>
      <c r="F2105" s="427"/>
      <c r="G2105" s="427"/>
      <c r="H2105" s="427"/>
      <c r="I2105" s="427"/>
      <c r="J2105" s="427"/>
      <c r="K2105" s="427"/>
      <c r="L2105" s="427"/>
      <c r="M2105" s="427"/>
      <c r="N2105" s="427"/>
      <c r="O2105" s="427"/>
      <c r="P2105" s="427"/>
      <c r="Q2105" s="427"/>
      <c r="R2105" s="427"/>
    </row>
    <row r="2106" spans="1:18" ht="24">
      <c r="A2106" s="339">
        <v>65.72</v>
      </c>
      <c r="B2106" s="334" t="s">
        <v>3747</v>
      </c>
      <c r="C2106" s="340" t="s">
        <v>3748</v>
      </c>
      <c r="D2106" s="341">
        <v>12218.71</v>
      </c>
      <c r="E2106" s="341">
        <v>2654.02</v>
      </c>
      <c r="F2106" s="341">
        <v>70.760000000000005</v>
      </c>
      <c r="G2106" s="341">
        <v>9493.93</v>
      </c>
      <c r="H2106" s="342">
        <v>77297.36</v>
      </c>
      <c r="I2106" s="342">
        <v>34634.69</v>
      </c>
      <c r="J2106" s="342">
        <v>404.28</v>
      </c>
      <c r="K2106" s="342">
        <v>42258.39</v>
      </c>
      <c r="L2106" s="357">
        <v>6.326147359254783</v>
      </c>
      <c r="M2106" s="357">
        <v>13.05</v>
      </c>
      <c r="N2106" s="357">
        <v>5.7133973996608249</v>
      </c>
      <c r="O2106" s="357">
        <v>4.451095594764233</v>
      </c>
      <c r="P2106" s="343"/>
      <c r="Q2106" s="343"/>
      <c r="R2106" s="343">
        <v>7</v>
      </c>
    </row>
    <row r="2107" spans="1:18" ht="24">
      <c r="A2107" s="339">
        <v>65.73</v>
      </c>
      <c r="B2107" s="334" t="s">
        <v>3749</v>
      </c>
      <c r="C2107" s="340" t="s">
        <v>3750</v>
      </c>
      <c r="D2107" s="341">
        <v>16392.8</v>
      </c>
      <c r="E2107" s="341">
        <v>2806.67</v>
      </c>
      <c r="F2107" s="341">
        <v>127.36</v>
      </c>
      <c r="G2107" s="341">
        <v>13458.77</v>
      </c>
      <c r="H2107" s="342">
        <v>97452.66</v>
      </c>
      <c r="I2107" s="342">
        <v>36626.81</v>
      </c>
      <c r="J2107" s="342">
        <v>727.7</v>
      </c>
      <c r="K2107" s="342">
        <v>60098.15</v>
      </c>
      <c r="L2107" s="357">
        <v>5.9448452979356796</v>
      </c>
      <c r="M2107" s="357">
        <v>13.05</v>
      </c>
      <c r="N2107" s="357">
        <v>5.7137248743718594</v>
      </c>
      <c r="O2107" s="357">
        <v>4.465352331602368</v>
      </c>
      <c r="P2107" s="343"/>
      <c r="Q2107" s="343"/>
      <c r="R2107" s="343">
        <v>7</v>
      </c>
    </row>
    <row r="2108" spans="1:18" ht="24">
      <c r="A2108" s="339">
        <v>65.739999999999995</v>
      </c>
      <c r="B2108" s="334" t="s">
        <v>3751</v>
      </c>
      <c r="C2108" s="340" t="s">
        <v>3752</v>
      </c>
      <c r="D2108" s="341">
        <v>22208.55</v>
      </c>
      <c r="E2108" s="341">
        <v>4049.54</v>
      </c>
      <c r="F2108" s="341">
        <v>198.11</v>
      </c>
      <c r="G2108" s="341">
        <v>17960.900000000001</v>
      </c>
      <c r="H2108" s="342">
        <v>147067.09</v>
      </c>
      <c r="I2108" s="342">
        <v>52846.13</v>
      </c>
      <c r="J2108" s="342">
        <v>1131.97</v>
      </c>
      <c r="K2108" s="342">
        <v>93088.99</v>
      </c>
      <c r="L2108" s="357">
        <v>6.6220932928984562</v>
      </c>
      <c r="M2108" s="357">
        <v>13.05</v>
      </c>
      <c r="N2108" s="357">
        <v>5.7138458432184134</v>
      </c>
      <c r="O2108" s="357">
        <v>5.1828688985518543</v>
      </c>
      <c r="P2108" s="343"/>
      <c r="Q2108" s="343"/>
      <c r="R2108" s="343">
        <v>7</v>
      </c>
    </row>
    <row r="2109" spans="1:18" ht="12.75">
      <c r="A2109" s="426" t="s">
        <v>3753</v>
      </c>
      <c r="B2109" s="427"/>
      <c r="C2109" s="427"/>
      <c r="D2109" s="427"/>
      <c r="E2109" s="427"/>
      <c r="F2109" s="427"/>
      <c r="G2109" s="427"/>
      <c r="H2109" s="427"/>
      <c r="I2109" s="427"/>
      <c r="J2109" s="427"/>
      <c r="K2109" s="427"/>
      <c r="L2109" s="427"/>
      <c r="M2109" s="427"/>
      <c r="N2109" s="427"/>
      <c r="O2109" s="427"/>
      <c r="P2109" s="427"/>
      <c r="Q2109" s="427"/>
      <c r="R2109" s="427"/>
    </row>
    <row r="2110" spans="1:18" ht="24">
      <c r="A2110" s="339">
        <v>65.75</v>
      </c>
      <c r="B2110" s="334" t="s">
        <v>3754</v>
      </c>
      <c r="C2110" s="340" t="s">
        <v>3755</v>
      </c>
      <c r="D2110" s="341">
        <v>6399.7</v>
      </c>
      <c r="E2110" s="341">
        <v>692.04</v>
      </c>
      <c r="F2110" s="341">
        <v>14.15</v>
      </c>
      <c r="G2110" s="341">
        <v>5693.51</v>
      </c>
      <c r="H2110" s="342">
        <v>22025.09</v>
      </c>
      <c r="I2110" s="342">
        <v>9030.98</v>
      </c>
      <c r="J2110" s="342">
        <v>80.86</v>
      </c>
      <c r="K2110" s="342">
        <v>12913.25</v>
      </c>
      <c r="L2110" s="357">
        <v>3.4415816366392176</v>
      </c>
      <c r="M2110" s="357">
        <v>13.05</v>
      </c>
      <c r="N2110" s="357">
        <v>5.7144876325088338</v>
      </c>
      <c r="O2110" s="357">
        <v>2.2680648668396119</v>
      </c>
      <c r="P2110" s="343"/>
      <c r="Q2110" s="343"/>
      <c r="R2110" s="343">
        <v>8</v>
      </c>
    </row>
    <row r="2111" spans="1:18" ht="24">
      <c r="A2111" s="339">
        <v>65.760000000000005</v>
      </c>
      <c r="B2111" s="334" t="s">
        <v>3756</v>
      </c>
      <c r="C2111" s="340" t="s">
        <v>3757</v>
      </c>
      <c r="D2111" s="341">
        <v>13267.09</v>
      </c>
      <c r="E2111" s="341">
        <v>733.52</v>
      </c>
      <c r="F2111" s="341">
        <v>28.3</v>
      </c>
      <c r="G2111" s="341">
        <v>12505.27</v>
      </c>
      <c r="H2111" s="342">
        <v>38157.160000000003</v>
      </c>
      <c r="I2111" s="342">
        <v>9572.2199999999993</v>
      </c>
      <c r="J2111" s="342">
        <v>161.71</v>
      </c>
      <c r="K2111" s="342">
        <v>28423.23</v>
      </c>
      <c r="L2111" s="357">
        <v>2.876076064909487</v>
      </c>
      <c r="M2111" s="357">
        <v>13.05</v>
      </c>
      <c r="N2111" s="357">
        <v>5.7141342756183748</v>
      </c>
      <c r="O2111" s="357">
        <v>2.2729001452987418</v>
      </c>
      <c r="P2111" s="343"/>
      <c r="Q2111" s="343"/>
      <c r="R2111" s="343">
        <v>8</v>
      </c>
    </row>
    <row r="2112" spans="1:18" ht="12.75">
      <c r="A2112" s="426" t="s">
        <v>3758</v>
      </c>
      <c r="B2112" s="427"/>
      <c r="C2112" s="427"/>
      <c r="D2112" s="427"/>
      <c r="E2112" s="427"/>
      <c r="F2112" s="427"/>
      <c r="G2112" s="427"/>
      <c r="H2112" s="427"/>
      <c r="I2112" s="427"/>
      <c r="J2112" s="427"/>
      <c r="K2112" s="427"/>
      <c r="L2112" s="427"/>
      <c r="M2112" s="427"/>
      <c r="N2112" s="427"/>
      <c r="O2112" s="427"/>
      <c r="P2112" s="427"/>
      <c r="Q2112" s="427"/>
      <c r="R2112" s="427"/>
    </row>
    <row r="2113" spans="1:18" ht="24">
      <c r="A2113" s="339">
        <v>65.77</v>
      </c>
      <c r="B2113" s="334" t="s">
        <v>3759</v>
      </c>
      <c r="C2113" s="340" t="s">
        <v>3760</v>
      </c>
      <c r="D2113" s="341">
        <v>4230.6099999999997</v>
      </c>
      <c r="E2113" s="341">
        <v>893.92</v>
      </c>
      <c r="F2113" s="341">
        <v>74.349999999999994</v>
      </c>
      <c r="G2113" s="341">
        <v>3262.34</v>
      </c>
      <c r="H2113" s="342">
        <v>32476.7</v>
      </c>
      <c r="I2113" s="342">
        <v>11665.33</v>
      </c>
      <c r="J2113" s="342">
        <v>483.63</v>
      </c>
      <c r="K2113" s="342">
        <v>20327.740000000002</v>
      </c>
      <c r="L2113" s="357">
        <v>7.6765998283935417</v>
      </c>
      <c r="M2113" s="357">
        <v>13.05</v>
      </c>
      <c r="N2113" s="357">
        <v>6.5047747141896437</v>
      </c>
      <c r="O2113" s="357">
        <v>6.2310304873189182</v>
      </c>
      <c r="P2113" s="343"/>
      <c r="Q2113" s="343"/>
      <c r="R2113" s="343">
        <v>9</v>
      </c>
    </row>
    <row r="2114" spans="1:18" ht="24">
      <c r="A2114" s="339">
        <v>65.78</v>
      </c>
      <c r="B2114" s="334" t="s">
        <v>3761</v>
      </c>
      <c r="C2114" s="340" t="s">
        <v>3762</v>
      </c>
      <c r="D2114" s="341">
        <v>4836.68</v>
      </c>
      <c r="E2114" s="341">
        <v>986.99</v>
      </c>
      <c r="F2114" s="341">
        <v>74.349999999999994</v>
      </c>
      <c r="G2114" s="341">
        <v>3775.34</v>
      </c>
      <c r="H2114" s="342">
        <v>36652.22</v>
      </c>
      <c r="I2114" s="342">
        <v>12879.85</v>
      </c>
      <c r="J2114" s="342">
        <v>483.63</v>
      </c>
      <c r="K2114" s="342">
        <v>23288.74</v>
      </c>
      <c r="L2114" s="357">
        <v>7.577970839501476</v>
      </c>
      <c r="M2114" s="357">
        <v>13.05</v>
      </c>
      <c r="N2114" s="357">
        <v>6.5047747141896437</v>
      </c>
      <c r="O2114" s="357">
        <v>6.1686470622513472</v>
      </c>
      <c r="P2114" s="343"/>
      <c r="Q2114" s="343"/>
      <c r="R2114" s="343">
        <v>9</v>
      </c>
    </row>
    <row r="2115" spans="1:18" ht="24">
      <c r="A2115" s="339">
        <v>65.790000000000006</v>
      </c>
      <c r="B2115" s="334" t="s">
        <v>3763</v>
      </c>
      <c r="C2115" s="340" t="s">
        <v>3764</v>
      </c>
      <c r="D2115" s="341">
        <v>5275.29</v>
      </c>
      <c r="E2115" s="341">
        <v>1089.5999999999999</v>
      </c>
      <c r="F2115" s="341">
        <v>74.349999999999994</v>
      </c>
      <c r="G2115" s="341">
        <v>4111.34</v>
      </c>
      <c r="H2115" s="342">
        <v>40079.18</v>
      </c>
      <c r="I2115" s="342">
        <v>14218.81</v>
      </c>
      <c r="J2115" s="342">
        <v>483.63</v>
      </c>
      <c r="K2115" s="342">
        <v>25376.74</v>
      </c>
      <c r="L2115" s="357">
        <v>7.5975311309899549</v>
      </c>
      <c r="M2115" s="357">
        <v>13.05</v>
      </c>
      <c r="N2115" s="357">
        <v>6.5047747141896437</v>
      </c>
      <c r="O2115" s="357">
        <v>6.1723768892867046</v>
      </c>
      <c r="P2115" s="343"/>
      <c r="Q2115" s="343"/>
      <c r="R2115" s="343">
        <v>9</v>
      </c>
    </row>
    <row r="2116" spans="1:18" ht="24">
      <c r="A2116" s="339">
        <v>65.8</v>
      </c>
      <c r="B2116" s="334" t="s">
        <v>3765</v>
      </c>
      <c r="C2116" s="340" t="s">
        <v>3766</v>
      </c>
      <c r="D2116" s="341">
        <v>6322.19</v>
      </c>
      <c r="E2116" s="341">
        <v>1322.5</v>
      </c>
      <c r="F2116" s="341">
        <v>74.349999999999994</v>
      </c>
      <c r="G2116" s="341">
        <v>4925.34</v>
      </c>
      <c r="H2116" s="342">
        <v>48150.46</v>
      </c>
      <c r="I2116" s="342">
        <v>17258.09</v>
      </c>
      <c r="J2116" s="342">
        <v>483.63</v>
      </c>
      <c r="K2116" s="342">
        <v>30408.74</v>
      </c>
      <c r="L2116" s="357">
        <v>7.6161045460512895</v>
      </c>
      <c r="M2116" s="357">
        <v>13.05</v>
      </c>
      <c r="N2116" s="357">
        <v>6.5047747141896437</v>
      </c>
      <c r="O2116" s="357">
        <v>6.1739372307292495</v>
      </c>
      <c r="P2116" s="343"/>
      <c r="Q2116" s="343"/>
      <c r="R2116" s="343">
        <v>9</v>
      </c>
    </row>
    <row r="2117" spans="1:18" ht="24">
      <c r="A2117" s="339">
        <v>65.81</v>
      </c>
      <c r="B2117" s="334" t="s">
        <v>3767</v>
      </c>
      <c r="C2117" s="340" t="s">
        <v>3768</v>
      </c>
      <c r="D2117" s="341">
        <v>7169.58</v>
      </c>
      <c r="E2117" s="341">
        <v>1394.89</v>
      </c>
      <c r="F2117" s="341">
        <v>74.349999999999994</v>
      </c>
      <c r="G2117" s="341">
        <v>5700.34</v>
      </c>
      <c r="H2117" s="342">
        <v>53883.09</v>
      </c>
      <c r="I2117" s="342">
        <v>18202.72</v>
      </c>
      <c r="J2117" s="342">
        <v>483.63</v>
      </c>
      <c r="K2117" s="342">
        <v>35196.74</v>
      </c>
      <c r="L2117" s="357">
        <v>7.5155155532123219</v>
      </c>
      <c r="M2117" s="357">
        <v>13.05</v>
      </c>
      <c r="N2117" s="357">
        <v>6.5047747141896437</v>
      </c>
      <c r="O2117" s="357">
        <v>6.174498363255525</v>
      </c>
      <c r="P2117" s="343"/>
      <c r="Q2117" s="343"/>
      <c r="R2117" s="343">
        <v>9</v>
      </c>
    </row>
    <row r="2118" spans="1:18" ht="24">
      <c r="A2118" s="339">
        <v>65.819999999999993</v>
      </c>
      <c r="B2118" s="334" t="s">
        <v>3769</v>
      </c>
      <c r="C2118" s="340" t="s">
        <v>3770</v>
      </c>
      <c r="D2118" s="341">
        <v>8718.31</v>
      </c>
      <c r="E2118" s="341">
        <v>1550</v>
      </c>
      <c r="F2118" s="341">
        <v>190.2</v>
      </c>
      <c r="G2118" s="341">
        <v>6978.11</v>
      </c>
      <c r="H2118" s="342">
        <v>64294.71</v>
      </c>
      <c r="I2118" s="342">
        <v>20226.91</v>
      </c>
      <c r="J2118" s="342">
        <v>1275.93</v>
      </c>
      <c r="K2118" s="342">
        <v>42791.87</v>
      </c>
      <c r="L2118" s="357">
        <v>7.3746758259341547</v>
      </c>
      <c r="M2118" s="357">
        <v>13.05</v>
      </c>
      <c r="N2118" s="357">
        <v>6.7083596214511045</v>
      </c>
      <c r="O2118" s="357">
        <v>6.1323008665670224</v>
      </c>
      <c r="P2118" s="343"/>
      <c r="Q2118" s="343"/>
      <c r="R2118" s="343">
        <v>9</v>
      </c>
    </row>
    <row r="2119" spans="1:18" ht="24">
      <c r="A2119" s="339">
        <v>65.83</v>
      </c>
      <c r="B2119" s="334" t="s">
        <v>3771</v>
      </c>
      <c r="C2119" s="340" t="s">
        <v>3772</v>
      </c>
      <c r="D2119" s="341">
        <v>10541.1</v>
      </c>
      <c r="E2119" s="341">
        <v>1821.17</v>
      </c>
      <c r="F2119" s="341">
        <v>291.41000000000003</v>
      </c>
      <c r="G2119" s="341">
        <v>8428.52</v>
      </c>
      <c r="H2119" s="342">
        <v>78211.73</v>
      </c>
      <c r="I2119" s="342">
        <v>23765.49</v>
      </c>
      <c r="J2119" s="342">
        <v>1974.76</v>
      </c>
      <c r="K2119" s="342">
        <v>52471.48</v>
      </c>
      <c r="L2119" s="357">
        <v>7.4196933906328555</v>
      </c>
      <c r="M2119" s="357">
        <v>13.05</v>
      </c>
      <c r="N2119" s="357">
        <v>6.7765690950893926</v>
      </c>
      <c r="O2119" s="357">
        <v>6.2254678164137953</v>
      </c>
      <c r="P2119" s="343"/>
      <c r="Q2119" s="343"/>
      <c r="R2119" s="343">
        <v>9</v>
      </c>
    </row>
    <row r="2120" spans="1:18" ht="24">
      <c r="A2120" s="339">
        <v>65.84</v>
      </c>
      <c r="B2120" s="334" t="s">
        <v>3773</v>
      </c>
      <c r="C2120" s="340" t="s">
        <v>3774</v>
      </c>
      <c r="D2120" s="341">
        <v>11837.38</v>
      </c>
      <c r="E2120" s="341">
        <v>2008.45</v>
      </c>
      <c r="F2120" s="341">
        <v>291.41000000000003</v>
      </c>
      <c r="G2120" s="341">
        <v>9537.52</v>
      </c>
      <c r="H2120" s="342">
        <v>87505.75</v>
      </c>
      <c r="I2120" s="342">
        <v>26209.51</v>
      </c>
      <c r="J2120" s="342">
        <v>1974.76</v>
      </c>
      <c r="K2120" s="342">
        <v>59321.48</v>
      </c>
      <c r="L2120" s="357">
        <v>7.3923241460525899</v>
      </c>
      <c r="M2120" s="357">
        <v>13.05</v>
      </c>
      <c r="N2120" s="357">
        <v>6.7765690950893926</v>
      </c>
      <c r="O2120" s="357">
        <v>6.2198013739420732</v>
      </c>
      <c r="P2120" s="343"/>
      <c r="Q2120" s="343"/>
      <c r="R2120" s="343">
        <v>9</v>
      </c>
    </row>
    <row r="2121" spans="1:18" ht="24">
      <c r="A2121" s="339">
        <v>65.849999999999994</v>
      </c>
      <c r="B2121" s="334" t="s">
        <v>3775</v>
      </c>
      <c r="C2121" s="340" t="s">
        <v>3776</v>
      </c>
      <c r="D2121" s="341">
        <v>15641.59</v>
      </c>
      <c r="E2121" s="341">
        <v>2532.4</v>
      </c>
      <c r="F2121" s="341">
        <v>377.74</v>
      </c>
      <c r="G2121" s="341">
        <v>12731.45</v>
      </c>
      <c r="H2121" s="342">
        <v>114806.26</v>
      </c>
      <c r="I2121" s="342">
        <v>33046.78</v>
      </c>
      <c r="J2121" s="342">
        <v>2524.89</v>
      </c>
      <c r="K2121" s="342">
        <v>79234.59</v>
      </c>
      <c r="L2121" s="357">
        <v>7.339807525961235</v>
      </c>
      <c r="M2121" s="357">
        <v>13.05</v>
      </c>
      <c r="N2121" s="357">
        <v>6.6842007730184783</v>
      </c>
      <c r="O2121" s="357">
        <v>6.2235322763707188</v>
      </c>
      <c r="P2121" s="343"/>
      <c r="Q2121" s="343"/>
      <c r="R2121" s="343">
        <v>9</v>
      </c>
    </row>
    <row r="2122" spans="1:18" ht="48">
      <c r="A2122" s="339">
        <v>65.86</v>
      </c>
      <c r="B2122" s="334" t="s">
        <v>3777</v>
      </c>
      <c r="C2122" s="340" t="s">
        <v>3778</v>
      </c>
      <c r="D2122" s="341">
        <v>4015.05</v>
      </c>
      <c r="E2122" s="341">
        <v>1930.32</v>
      </c>
      <c r="F2122" s="341">
        <v>76.38</v>
      </c>
      <c r="G2122" s="341">
        <v>2008.35</v>
      </c>
      <c r="H2122" s="342">
        <v>34688.17</v>
      </c>
      <c r="I2122" s="342">
        <v>25189.919999999998</v>
      </c>
      <c r="J2122" s="342">
        <v>406.94</v>
      </c>
      <c r="K2122" s="342">
        <v>9091.31</v>
      </c>
      <c r="L2122" s="357">
        <v>8.6395362448786432</v>
      </c>
      <c r="M2122" s="357">
        <v>13.05</v>
      </c>
      <c r="N2122" s="357">
        <v>5.3278345116522656</v>
      </c>
      <c r="O2122" s="357">
        <v>4.5267557945577215</v>
      </c>
      <c r="P2122" s="343"/>
      <c r="Q2122" s="343"/>
      <c r="R2122" s="343">
        <v>9</v>
      </c>
    </row>
    <row r="2123" spans="1:18" ht="48">
      <c r="A2123" s="339">
        <v>65.87</v>
      </c>
      <c r="B2123" s="334" t="s">
        <v>3779</v>
      </c>
      <c r="C2123" s="340" t="s">
        <v>3780</v>
      </c>
      <c r="D2123" s="341">
        <v>4288.45</v>
      </c>
      <c r="E2123" s="341">
        <v>1780.95</v>
      </c>
      <c r="F2123" s="341">
        <v>76.989999999999995</v>
      </c>
      <c r="G2123" s="341">
        <v>2430.5100000000002</v>
      </c>
      <c r="H2123" s="342">
        <v>36715.54</v>
      </c>
      <c r="I2123" s="342">
        <v>23240.7</v>
      </c>
      <c r="J2123" s="342">
        <v>410.75</v>
      </c>
      <c r="K2123" s="342">
        <v>13064.09</v>
      </c>
      <c r="L2123" s="357">
        <v>8.5614942461728596</v>
      </c>
      <c r="M2123" s="357">
        <v>13.05</v>
      </c>
      <c r="N2123" s="357">
        <v>5.3351084556435904</v>
      </c>
      <c r="O2123" s="357">
        <v>5.375040629332938</v>
      </c>
      <c r="P2123" s="343"/>
      <c r="Q2123" s="343"/>
      <c r="R2123" s="343">
        <v>9</v>
      </c>
    </row>
    <row r="2124" spans="1:18" ht="48">
      <c r="A2124" s="339">
        <v>65.88</v>
      </c>
      <c r="B2124" s="334" t="s">
        <v>3781</v>
      </c>
      <c r="C2124" s="340" t="s">
        <v>3782</v>
      </c>
      <c r="D2124" s="341">
        <v>5128.1899999999996</v>
      </c>
      <c r="E2124" s="341">
        <v>1780.95</v>
      </c>
      <c r="F2124" s="341">
        <v>82.99</v>
      </c>
      <c r="G2124" s="341">
        <v>3264.25</v>
      </c>
      <c r="H2124" s="342">
        <v>41241.29</v>
      </c>
      <c r="I2124" s="342">
        <v>23240.7</v>
      </c>
      <c r="J2124" s="342">
        <v>441.9</v>
      </c>
      <c r="K2124" s="342">
        <v>17558.689999999999</v>
      </c>
      <c r="L2124" s="357">
        <v>8.0420752741220589</v>
      </c>
      <c r="M2124" s="357">
        <v>13.05</v>
      </c>
      <c r="N2124" s="357">
        <v>5.3247379202313532</v>
      </c>
      <c r="O2124" s="357">
        <v>5.3790886114727732</v>
      </c>
      <c r="P2124" s="343"/>
      <c r="Q2124" s="343"/>
      <c r="R2124" s="343">
        <v>9</v>
      </c>
    </row>
    <row r="2125" spans="1:18" ht="48">
      <c r="A2125" s="339">
        <v>65.89</v>
      </c>
      <c r="B2125" s="334" t="s">
        <v>3783</v>
      </c>
      <c r="C2125" s="340" t="s">
        <v>3784</v>
      </c>
      <c r="D2125" s="341">
        <v>4147.9399999999996</v>
      </c>
      <c r="E2125" s="341">
        <v>2079.69</v>
      </c>
      <c r="F2125" s="341">
        <v>76.38</v>
      </c>
      <c r="G2125" s="341">
        <v>1991.87</v>
      </c>
      <c r="H2125" s="342">
        <v>36548.25</v>
      </c>
      <c r="I2125" s="342">
        <v>27139.14</v>
      </c>
      <c r="J2125" s="342">
        <v>406.94</v>
      </c>
      <c r="K2125" s="342">
        <v>9002.17</v>
      </c>
      <c r="L2125" s="357">
        <v>8.8111809717594767</v>
      </c>
      <c r="M2125" s="357">
        <v>13.05</v>
      </c>
      <c r="N2125" s="357">
        <v>5.3278345116522656</v>
      </c>
      <c r="O2125" s="357">
        <v>4.5194565910425881</v>
      </c>
      <c r="P2125" s="343"/>
      <c r="Q2125" s="343"/>
      <c r="R2125" s="343">
        <v>9</v>
      </c>
    </row>
    <row r="2126" spans="1:18" ht="48">
      <c r="A2126" s="339">
        <v>65.900000000000006</v>
      </c>
      <c r="B2126" s="334" t="s">
        <v>3785</v>
      </c>
      <c r="C2126" s="340" t="s">
        <v>3786</v>
      </c>
      <c r="D2126" s="341">
        <v>4388.49</v>
      </c>
      <c r="E2126" s="341">
        <v>1907.34</v>
      </c>
      <c r="F2126" s="341">
        <v>76.989999999999995</v>
      </c>
      <c r="G2126" s="341">
        <v>2404.16</v>
      </c>
      <c r="H2126" s="342">
        <v>38220.9</v>
      </c>
      <c r="I2126" s="342">
        <v>24890.04</v>
      </c>
      <c r="J2126" s="342">
        <v>410.75</v>
      </c>
      <c r="K2126" s="342">
        <v>12920.11</v>
      </c>
      <c r="L2126" s="357">
        <v>8.7093510524121065</v>
      </c>
      <c r="M2126" s="357">
        <v>13.05</v>
      </c>
      <c r="N2126" s="357">
        <v>5.3351084556435904</v>
      </c>
      <c r="O2126" s="357">
        <v>5.3740641221882077</v>
      </c>
      <c r="P2126" s="343"/>
      <c r="Q2126" s="343"/>
      <c r="R2126" s="343">
        <v>9</v>
      </c>
    </row>
    <row r="2127" spans="1:18" ht="48">
      <c r="A2127" s="339">
        <v>65.91</v>
      </c>
      <c r="B2127" s="334" t="s">
        <v>3787</v>
      </c>
      <c r="C2127" s="340" t="s">
        <v>3788</v>
      </c>
      <c r="D2127" s="341">
        <v>5232.37</v>
      </c>
      <c r="E2127" s="341">
        <v>1907.34</v>
      </c>
      <c r="F2127" s="341">
        <v>82.99</v>
      </c>
      <c r="G2127" s="341">
        <v>3242.04</v>
      </c>
      <c r="H2127" s="342">
        <v>42769.36</v>
      </c>
      <c r="I2127" s="342">
        <v>24890.04</v>
      </c>
      <c r="J2127" s="342">
        <v>441.9</v>
      </c>
      <c r="K2127" s="342">
        <v>17437.419999999998</v>
      </c>
      <c r="L2127" s="357">
        <v>8.1739938115997148</v>
      </c>
      <c r="M2127" s="357">
        <v>13.05</v>
      </c>
      <c r="N2127" s="357">
        <v>5.3247379202313532</v>
      </c>
      <c r="O2127" s="357">
        <v>5.3785332691761969</v>
      </c>
      <c r="P2127" s="343"/>
      <c r="Q2127" s="343"/>
      <c r="R2127" s="343">
        <v>9</v>
      </c>
    </row>
    <row r="2128" spans="1:18" ht="12.75">
      <c r="A2128" s="426" t="s">
        <v>3789</v>
      </c>
      <c r="B2128" s="427"/>
      <c r="C2128" s="427"/>
      <c r="D2128" s="427"/>
      <c r="E2128" s="427"/>
      <c r="F2128" s="427"/>
      <c r="G2128" s="427"/>
      <c r="H2128" s="427"/>
      <c r="I2128" s="427"/>
      <c r="J2128" s="427"/>
      <c r="K2128" s="427"/>
      <c r="L2128" s="427"/>
      <c r="M2128" s="427"/>
      <c r="N2128" s="427"/>
      <c r="O2128" s="427"/>
      <c r="P2128" s="427"/>
      <c r="Q2128" s="427"/>
      <c r="R2128" s="427"/>
    </row>
    <row r="2129" spans="1:18">
      <c r="A2129" s="339">
        <v>65.92</v>
      </c>
      <c r="B2129" s="334" t="s">
        <v>3790</v>
      </c>
      <c r="C2129" s="340" t="s">
        <v>3791</v>
      </c>
      <c r="D2129" s="341">
        <v>478.69</v>
      </c>
      <c r="E2129" s="341">
        <v>314.27</v>
      </c>
      <c r="F2129" s="341">
        <v>1.05</v>
      </c>
      <c r="G2129" s="341">
        <v>163.37</v>
      </c>
      <c r="H2129" s="342">
        <v>4904.3999999999996</v>
      </c>
      <c r="I2129" s="342">
        <v>4101.3100000000004</v>
      </c>
      <c r="J2129" s="342">
        <v>5.31</v>
      </c>
      <c r="K2129" s="342">
        <v>797.78</v>
      </c>
      <c r="L2129" s="357">
        <v>10.245461572207482</v>
      </c>
      <c r="M2129" s="357">
        <v>13.05</v>
      </c>
      <c r="N2129" s="357">
        <v>5.0571428571428569</v>
      </c>
      <c r="O2129" s="357">
        <v>4.8832711024055824</v>
      </c>
      <c r="P2129" s="343"/>
      <c r="Q2129" s="343"/>
      <c r="R2129" s="343">
        <v>10</v>
      </c>
    </row>
    <row r="2130" spans="1:18">
      <c r="A2130" s="339">
        <v>65.930000000000007</v>
      </c>
      <c r="B2130" s="334" t="s">
        <v>3792</v>
      </c>
      <c r="C2130" s="340" t="s">
        <v>3793</v>
      </c>
      <c r="D2130" s="341">
        <v>1155.83</v>
      </c>
      <c r="E2130" s="341">
        <v>1054.08</v>
      </c>
      <c r="F2130" s="341"/>
      <c r="G2130" s="341">
        <v>101.75</v>
      </c>
      <c r="H2130" s="342">
        <v>14541.26</v>
      </c>
      <c r="I2130" s="342">
        <v>13755.96</v>
      </c>
      <c r="J2130" s="342"/>
      <c r="K2130" s="342">
        <v>785.3</v>
      </c>
      <c r="L2130" s="357">
        <v>12.580794753553723</v>
      </c>
      <c r="M2130" s="357">
        <v>13.05</v>
      </c>
      <c r="N2130" s="357" t="s">
        <v>135</v>
      </c>
      <c r="O2130" s="357">
        <v>7.7179361179361177</v>
      </c>
      <c r="P2130" s="343"/>
      <c r="Q2130" s="343"/>
      <c r="R2130" s="343">
        <v>10</v>
      </c>
    </row>
    <row r="2131" spans="1:18" ht="12.75">
      <c r="A2131" s="426" t="s">
        <v>3794</v>
      </c>
      <c r="B2131" s="427"/>
      <c r="C2131" s="427"/>
      <c r="D2131" s="427"/>
      <c r="E2131" s="427"/>
      <c r="F2131" s="427"/>
      <c r="G2131" s="427"/>
      <c r="H2131" s="427"/>
      <c r="I2131" s="427"/>
      <c r="J2131" s="427"/>
      <c r="K2131" s="427"/>
      <c r="L2131" s="427"/>
      <c r="M2131" s="427"/>
      <c r="N2131" s="427"/>
      <c r="O2131" s="427"/>
      <c r="P2131" s="427"/>
      <c r="Q2131" s="427"/>
      <c r="R2131" s="427"/>
    </row>
    <row r="2132" spans="1:18">
      <c r="A2132" s="339">
        <v>65.94</v>
      </c>
      <c r="B2132" s="334" t="s">
        <v>3795</v>
      </c>
      <c r="C2132" s="340" t="s">
        <v>3794</v>
      </c>
      <c r="D2132" s="341">
        <v>29306.18</v>
      </c>
      <c r="E2132" s="341">
        <v>11903.4</v>
      </c>
      <c r="F2132" s="341">
        <v>6339.85</v>
      </c>
      <c r="G2132" s="341">
        <v>11062.93</v>
      </c>
      <c r="H2132" s="342">
        <v>277239.78999999998</v>
      </c>
      <c r="I2132" s="342">
        <v>155335.79999999999</v>
      </c>
      <c r="J2132" s="342">
        <v>49582.21</v>
      </c>
      <c r="K2132" s="342">
        <v>72321.78</v>
      </c>
      <c r="L2132" s="357">
        <v>9.4601135323675756</v>
      </c>
      <c r="M2132" s="357">
        <v>13.05</v>
      </c>
      <c r="N2132" s="357">
        <v>7.8207228877654824</v>
      </c>
      <c r="O2132" s="357">
        <v>6.5373079283697892</v>
      </c>
      <c r="P2132" s="343"/>
      <c r="Q2132" s="343"/>
      <c r="R2132" s="343">
        <v>11</v>
      </c>
    </row>
    <row r="2133" spans="1:18" ht="12.75">
      <c r="A2133" s="426" t="s">
        <v>3796</v>
      </c>
      <c r="B2133" s="427"/>
      <c r="C2133" s="427"/>
      <c r="D2133" s="427"/>
      <c r="E2133" s="427"/>
      <c r="F2133" s="427"/>
      <c r="G2133" s="427"/>
      <c r="H2133" s="427"/>
      <c r="I2133" s="427"/>
      <c r="J2133" s="427"/>
      <c r="K2133" s="427"/>
      <c r="L2133" s="427"/>
      <c r="M2133" s="427"/>
      <c r="N2133" s="427"/>
      <c r="O2133" s="427"/>
      <c r="P2133" s="427"/>
      <c r="Q2133" s="427"/>
      <c r="R2133" s="427"/>
    </row>
    <row r="2134" spans="1:18" ht="48">
      <c r="A2134" s="339">
        <v>65.95</v>
      </c>
      <c r="B2134" s="334" t="s">
        <v>3797</v>
      </c>
      <c r="C2134" s="340" t="s">
        <v>3798</v>
      </c>
      <c r="D2134" s="341">
        <v>18.420000000000002</v>
      </c>
      <c r="E2134" s="341">
        <v>10.19</v>
      </c>
      <c r="F2134" s="341">
        <v>8.16</v>
      </c>
      <c r="G2134" s="341">
        <v>7.0000000000000007E-2</v>
      </c>
      <c r="H2134" s="342">
        <v>181.16</v>
      </c>
      <c r="I2134" s="342">
        <v>132.97999999999999</v>
      </c>
      <c r="J2134" s="342">
        <v>47.56</v>
      </c>
      <c r="K2134" s="342">
        <v>0.62</v>
      </c>
      <c r="L2134" s="357">
        <v>9.8349619978284455</v>
      </c>
      <c r="M2134" s="357">
        <v>13.05</v>
      </c>
      <c r="N2134" s="357">
        <v>5.8284313725490202</v>
      </c>
      <c r="O2134" s="357">
        <v>8.8571428571428559</v>
      </c>
      <c r="P2134" s="343"/>
      <c r="Q2134" s="343"/>
      <c r="R2134" s="343">
        <v>12</v>
      </c>
    </row>
    <row r="2135" spans="1:18" ht="48">
      <c r="A2135" s="339">
        <v>65.959999999999994</v>
      </c>
      <c r="B2135" s="334" t="s">
        <v>3799</v>
      </c>
      <c r="C2135" s="340" t="s">
        <v>3800</v>
      </c>
      <c r="D2135" s="341">
        <v>55.24</v>
      </c>
      <c r="E2135" s="341">
        <v>30.57</v>
      </c>
      <c r="F2135" s="341">
        <v>24.47</v>
      </c>
      <c r="G2135" s="341">
        <v>0.2</v>
      </c>
      <c r="H2135" s="342">
        <v>543.46</v>
      </c>
      <c r="I2135" s="342">
        <v>398.94</v>
      </c>
      <c r="J2135" s="342">
        <v>142.66999999999999</v>
      </c>
      <c r="K2135" s="342">
        <v>1.85</v>
      </c>
      <c r="L2135" s="357">
        <v>9.8381607530774797</v>
      </c>
      <c r="M2135" s="357">
        <v>13.05</v>
      </c>
      <c r="N2135" s="357">
        <v>5.8304045770331019</v>
      </c>
      <c r="O2135" s="357">
        <v>9.25</v>
      </c>
      <c r="P2135" s="343"/>
      <c r="Q2135" s="343"/>
      <c r="R2135" s="343">
        <v>12</v>
      </c>
    </row>
    <row r="2136" spans="1:18" ht="48">
      <c r="A2136" s="344">
        <v>65.97</v>
      </c>
      <c r="B2136" s="345" t="s">
        <v>3801</v>
      </c>
      <c r="C2136" s="346" t="s">
        <v>3802</v>
      </c>
      <c r="D2136" s="347">
        <v>78.91</v>
      </c>
      <c r="E2136" s="347">
        <v>50.95</v>
      </c>
      <c r="F2136" s="347">
        <v>27.73</v>
      </c>
      <c r="G2136" s="347">
        <v>0.23</v>
      </c>
      <c r="H2136" s="348">
        <v>828.68</v>
      </c>
      <c r="I2136" s="348">
        <v>664.9</v>
      </c>
      <c r="J2136" s="348">
        <v>161.69</v>
      </c>
      <c r="K2136" s="348">
        <v>2.09</v>
      </c>
      <c r="L2136" s="356">
        <v>10.501584083132682</v>
      </c>
      <c r="M2136" s="356">
        <v>13.05</v>
      </c>
      <c r="N2136" s="356">
        <v>5.8308690948431297</v>
      </c>
      <c r="O2136" s="356">
        <v>9.086956521739129</v>
      </c>
      <c r="P2136" s="349"/>
      <c r="Q2136" s="349"/>
      <c r="R2136" s="349">
        <v>12</v>
      </c>
    </row>
    <row r="2137" spans="1:18" ht="12.75">
      <c r="A2137" s="428" t="s">
        <v>2109</v>
      </c>
      <c r="B2137" s="429"/>
      <c r="C2137" s="429"/>
      <c r="D2137" s="429"/>
      <c r="E2137" s="429"/>
      <c r="F2137" s="429"/>
      <c r="G2137" s="429"/>
      <c r="H2137" s="429"/>
      <c r="I2137" s="429"/>
      <c r="J2137" s="429"/>
      <c r="K2137" s="429"/>
      <c r="L2137" s="429"/>
      <c r="M2137" s="429"/>
      <c r="N2137" s="429"/>
      <c r="O2137" s="429"/>
      <c r="P2137" s="429"/>
      <c r="Q2137" s="429"/>
      <c r="R2137" s="429"/>
    </row>
    <row r="2138" spans="1:18" ht="12.75">
      <c r="A2138" s="426" t="s">
        <v>3803</v>
      </c>
      <c r="B2138" s="427"/>
      <c r="C2138" s="427"/>
      <c r="D2138" s="427"/>
      <c r="E2138" s="427"/>
      <c r="F2138" s="427"/>
      <c r="G2138" s="427"/>
      <c r="H2138" s="427"/>
      <c r="I2138" s="427"/>
      <c r="J2138" s="427"/>
      <c r="K2138" s="427"/>
      <c r="L2138" s="427"/>
      <c r="M2138" s="427"/>
      <c r="N2138" s="427"/>
      <c r="O2138" s="427"/>
      <c r="P2138" s="427"/>
      <c r="Q2138" s="427"/>
      <c r="R2138" s="427"/>
    </row>
    <row r="2139" spans="1:18" ht="24">
      <c r="A2139" s="339">
        <v>65.98</v>
      </c>
      <c r="B2139" s="334" t="s">
        <v>3804</v>
      </c>
      <c r="C2139" s="340" t="s">
        <v>3805</v>
      </c>
      <c r="D2139" s="341">
        <v>2217.0700000000002</v>
      </c>
      <c r="E2139" s="341">
        <v>2110.9</v>
      </c>
      <c r="F2139" s="341">
        <v>106.17</v>
      </c>
      <c r="G2139" s="341"/>
      <c r="H2139" s="342">
        <v>28354.2</v>
      </c>
      <c r="I2139" s="342">
        <v>27548.29</v>
      </c>
      <c r="J2139" s="342">
        <v>805.91</v>
      </c>
      <c r="K2139" s="342"/>
      <c r="L2139" s="357">
        <v>12.789041392468437</v>
      </c>
      <c r="M2139" s="357">
        <v>13.05</v>
      </c>
      <c r="N2139" s="357">
        <v>7.5907506828670996</v>
      </c>
      <c r="O2139" s="357" t="s">
        <v>135</v>
      </c>
      <c r="P2139" s="343"/>
      <c r="Q2139" s="343"/>
      <c r="R2139" s="343">
        <v>1</v>
      </c>
    </row>
    <row r="2140" spans="1:18" ht="24">
      <c r="A2140" s="339">
        <v>65.989999999999995</v>
      </c>
      <c r="B2140" s="334" t="s">
        <v>3806</v>
      </c>
      <c r="C2140" s="340" t="s">
        <v>3807</v>
      </c>
      <c r="D2140" s="341">
        <v>4335.79</v>
      </c>
      <c r="E2140" s="341">
        <v>4090.5</v>
      </c>
      <c r="F2140" s="341">
        <v>245.29</v>
      </c>
      <c r="G2140" s="341"/>
      <c r="H2140" s="342">
        <v>55244.98</v>
      </c>
      <c r="I2140" s="342">
        <v>53383.05</v>
      </c>
      <c r="J2140" s="342">
        <v>1861.93</v>
      </c>
      <c r="K2140" s="342"/>
      <c r="L2140" s="357">
        <v>12.741618021168</v>
      </c>
      <c r="M2140" s="357">
        <v>13.05</v>
      </c>
      <c r="N2140" s="357">
        <v>7.5907293407803014</v>
      </c>
      <c r="O2140" s="357" t="s">
        <v>135</v>
      </c>
      <c r="P2140" s="343"/>
      <c r="Q2140" s="343"/>
      <c r="R2140" s="343">
        <v>1</v>
      </c>
    </row>
    <row r="2141" spans="1:18" ht="24">
      <c r="A2141" s="339">
        <v>65.099999999999994</v>
      </c>
      <c r="B2141" s="334" t="s">
        <v>3808</v>
      </c>
      <c r="C2141" s="340" t="s">
        <v>3809</v>
      </c>
      <c r="D2141" s="341">
        <v>5591.72</v>
      </c>
      <c r="E2141" s="341">
        <v>5302.5</v>
      </c>
      <c r="F2141" s="341">
        <v>289.22000000000003</v>
      </c>
      <c r="G2141" s="341"/>
      <c r="H2141" s="342">
        <v>71395.66</v>
      </c>
      <c r="I2141" s="342">
        <v>69200.25</v>
      </c>
      <c r="J2141" s="342">
        <v>2195.41</v>
      </c>
      <c r="K2141" s="342"/>
      <c r="L2141" s="357">
        <v>12.76810355311067</v>
      </c>
      <c r="M2141" s="357">
        <v>13.05</v>
      </c>
      <c r="N2141" s="357">
        <v>7.5907959338911546</v>
      </c>
      <c r="O2141" s="357" t="s">
        <v>135</v>
      </c>
      <c r="P2141" s="343"/>
      <c r="Q2141" s="343"/>
      <c r="R2141" s="343">
        <v>1</v>
      </c>
    </row>
    <row r="2142" spans="1:18" ht="12.75">
      <c r="A2142" s="426" t="s">
        <v>3810</v>
      </c>
      <c r="B2142" s="427"/>
      <c r="C2142" s="427"/>
      <c r="D2142" s="427"/>
      <c r="E2142" s="427"/>
      <c r="F2142" s="427"/>
      <c r="G2142" s="427"/>
      <c r="H2142" s="427"/>
      <c r="I2142" s="427"/>
      <c r="J2142" s="427"/>
      <c r="K2142" s="427"/>
      <c r="L2142" s="427"/>
      <c r="M2142" s="427"/>
      <c r="N2142" s="427"/>
      <c r="O2142" s="427"/>
      <c r="P2142" s="427"/>
      <c r="Q2142" s="427"/>
      <c r="R2142" s="427"/>
    </row>
    <row r="2143" spans="1:18">
      <c r="A2143" s="339">
        <v>65.100999999999999</v>
      </c>
      <c r="B2143" s="334" t="s">
        <v>3811</v>
      </c>
      <c r="C2143" s="340" t="s">
        <v>3812</v>
      </c>
      <c r="D2143" s="341">
        <v>500.33</v>
      </c>
      <c r="E2143" s="341">
        <v>500.33</v>
      </c>
      <c r="F2143" s="341"/>
      <c r="G2143" s="341"/>
      <c r="H2143" s="342">
        <v>6529.32</v>
      </c>
      <c r="I2143" s="342">
        <v>6529.32</v>
      </c>
      <c r="J2143" s="342"/>
      <c r="K2143" s="342"/>
      <c r="L2143" s="357">
        <v>13.050026982191753</v>
      </c>
      <c r="M2143" s="357">
        <v>13.05</v>
      </c>
      <c r="N2143" s="357" t="s">
        <v>135</v>
      </c>
      <c r="O2143" s="357" t="s">
        <v>135</v>
      </c>
      <c r="P2143" s="343"/>
      <c r="Q2143" s="343"/>
      <c r="R2143" s="343">
        <v>2</v>
      </c>
    </row>
    <row r="2144" spans="1:18">
      <c r="A2144" s="339">
        <v>65.102000000000004</v>
      </c>
      <c r="B2144" s="334" t="s">
        <v>3813</v>
      </c>
      <c r="C2144" s="340" t="s">
        <v>3814</v>
      </c>
      <c r="D2144" s="341">
        <v>1620.21</v>
      </c>
      <c r="E2144" s="341">
        <v>1620.21</v>
      </c>
      <c r="F2144" s="341"/>
      <c r="G2144" s="341"/>
      <c r="H2144" s="342">
        <v>21143.82</v>
      </c>
      <c r="I2144" s="342">
        <v>21143.82</v>
      </c>
      <c r="J2144" s="342"/>
      <c r="K2144" s="342"/>
      <c r="L2144" s="357">
        <v>13.050049067713443</v>
      </c>
      <c r="M2144" s="357">
        <v>13.05</v>
      </c>
      <c r="N2144" s="357" t="s">
        <v>135</v>
      </c>
      <c r="O2144" s="357" t="s">
        <v>135</v>
      </c>
      <c r="P2144" s="343"/>
      <c r="Q2144" s="343"/>
      <c r="R2144" s="343">
        <v>2</v>
      </c>
    </row>
    <row r="2145" spans="1:18" ht="12.75">
      <c r="A2145" s="426" t="s">
        <v>3815</v>
      </c>
      <c r="B2145" s="427"/>
      <c r="C2145" s="427"/>
      <c r="D2145" s="427"/>
      <c r="E2145" s="427"/>
      <c r="F2145" s="427"/>
      <c r="G2145" s="427"/>
      <c r="H2145" s="427"/>
      <c r="I2145" s="427"/>
      <c r="J2145" s="427"/>
      <c r="K2145" s="427"/>
      <c r="L2145" s="427"/>
      <c r="M2145" s="427"/>
      <c r="N2145" s="427"/>
      <c r="O2145" s="427"/>
      <c r="P2145" s="427"/>
      <c r="Q2145" s="427"/>
      <c r="R2145" s="427"/>
    </row>
    <row r="2146" spans="1:18" ht="36">
      <c r="A2146" s="339">
        <v>65.102999999999994</v>
      </c>
      <c r="B2146" s="334" t="s">
        <v>3816</v>
      </c>
      <c r="C2146" s="340" t="s">
        <v>3817</v>
      </c>
      <c r="D2146" s="341">
        <v>385.18</v>
      </c>
      <c r="E2146" s="341">
        <v>385.18</v>
      </c>
      <c r="F2146" s="341"/>
      <c r="G2146" s="341"/>
      <c r="H2146" s="342">
        <v>5026.6400000000003</v>
      </c>
      <c r="I2146" s="342">
        <v>5026.6400000000003</v>
      </c>
      <c r="J2146" s="342"/>
      <c r="K2146" s="342"/>
      <c r="L2146" s="357">
        <v>13.050106443740589</v>
      </c>
      <c r="M2146" s="357">
        <v>13.05</v>
      </c>
      <c r="N2146" s="357" t="s">
        <v>135</v>
      </c>
      <c r="O2146" s="357" t="s">
        <v>135</v>
      </c>
      <c r="P2146" s="343"/>
      <c r="Q2146" s="343"/>
      <c r="R2146" s="343">
        <v>3</v>
      </c>
    </row>
    <row r="2147" spans="1:18" ht="36">
      <c r="A2147" s="339">
        <v>65.103999999999999</v>
      </c>
      <c r="B2147" s="334" t="s">
        <v>3818</v>
      </c>
      <c r="C2147" s="340" t="s">
        <v>3819</v>
      </c>
      <c r="D2147" s="341">
        <v>557.39</v>
      </c>
      <c r="E2147" s="341">
        <v>557.39</v>
      </c>
      <c r="F2147" s="341"/>
      <c r="G2147" s="341"/>
      <c r="H2147" s="342">
        <v>7274.01</v>
      </c>
      <c r="I2147" s="342">
        <v>7274.01</v>
      </c>
      <c r="J2147" s="342"/>
      <c r="K2147" s="342"/>
      <c r="L2147" s="357">
        <v>13.050126482355264</v>
      </c>
      <c r="M2147" s="357">
        <v>13.05</v>
      </c>
      <c r="N2147" s="357" t="s">
        <v>135</v>
      </c>
      <c r="O2147" s="357" t="s">
        <v>135</v>
      </c>
      <c r="P2147" s="343"/>
      <c r="Q2147" s="343"/>
      <c r="R2147" s="343">
        <v>3</v>
      </c>
    </row>
    <row r="2148" spans="1:18" ht="36">
      <c r="A2148" s="339">
        <v>65.105000000000004</v>
      </c>
      <c r="B2148" s="334" t="s">
        <v>3820</v>
      </c>
      <c r="C2148" s="340" t="s">
        <v>3821</v>
      </c>
      <c r="D2148" s="341">
        <v>465.18</v>
      </c>
      <c r="E2148" s="341">
        <v>444.28</v>
      </c>
      <c r="F2148" s="341">
        <v>7.68</v>
      </c>
      <c r="G2148" s="341">
        <v>13.22</v>
      </c>
      <c r="H2148" s="342">
        <v>5994.59</v>
      </c>
      <c r="I2148" s="342">
        <v>5797.93</v>
      </c>
      <c r="J2148" s="342">
        <v>58.64</v>
      </c>
      <c r="K2148" s="342">
        <v>138.02000000000001</v>
      </c>
      <c r="L2148" s="357">
        <v>12.886603035384152</v>
      </c>
      <c r="M2148" s="357">
        <v>13.05</v>
      </c>
      <c r="N2148" s="357">
        <v>7.635416666666667</v>
      </c>
      <c r="O2148" s="357">
        <v>10.440242057488653</v>
      </c>
      <c r="P2148" s="343"/>
      <c r="Q2148" s="343"/>
      <c r="R2148" s="343">
        <v>3</v>
      </c>
    </row>
    <row r="2149" spans="1:18" ht="36">
      <c r="A2149" s="339">
        <v>65.105999999999995</v>
      </c>
      <c r="B2149" s="334" t="s">
        <v>3822</v>
      </c>
      <c r="C2149" s="340" t="s">
        <v>3823</v>
      </c>
      <c r="D2149" s="341">
        <v>716.52</v>
      </c>
      <c r="E2149" s="341">
        <v>665.41</v>
      </c>
      <c r="F2149" s="341">
        <v>19.18</v>
      </c>
      <c r="G2149" s="341">
        <v>31.93</v>
      </c>
      <c r="H2149" s="342">
        <v>9162.18</v>
      </c>
      <c r="I2149" s="342">
        <v>8683.59</v>
      </c>
      <c r="J2149" s="342">
        <v>146.34</v>
      </c>
      <c r="K2149" s="342">
        <v>332.25</v>
      </c>
      <c r="L2149" s="357">
        <v>12.787054094791493</v>
      </c>
      <c r="M2149" s="357">
        <v>13.05</v>
      </c>
      <c r="N2149" s="357">
        <v>7.6298227320125136</v>
      </c>
      <c r="O2149" s="357">
        <v>10.405574694644535</v>
      </c>
      <c r="P2149" s="343"/>
      <c r="Q2149" s="343"/>
      <c r="R2149" s="343">
        <v>3</v>
      </c>
    </row>
    <row r="2150" spans="1:18" ht="36">
      <c r="A2150" s="339">
        <v>65.106999999999999</v>
      </c>
      <c r="B2150" s="334" t="s">
        <v>3824</v>
      </c>
      <c r="C2150" s="340" t="s">
        <v>3825</v>
      </c>
      <c r="D2150" s="341">
        <v>1267.98</v>
      </c>
      <c r="E2150" s="341">
        <v>1200.3800000000001</v>
      </c>
      <c r="F2150" s="341">
        <v>25.8</v>
      </c>
      <c r="G2150" s="341">
        <v>41.8</v>
      </c>
      <c r="H2150" s="342">
        <v>16295.16</v>
      </c>
      <c r="I2150" s="342">
        <v>15665.04</v>
      </c>
      <c r="J2150" s="342">
        <v>196.91</v>
      </c>
      <c r="K2150" s="342">
        <v>433.21</v>
      </c>
      <c r="L2150" s="357">
        <v>12.851275256707519</v>
      </c>
      <c r="M2150" s="357">
        <v>13.05</v>
      </c>
      <c r="N2150" s="357">
        <v>7.6321705426356585</v>
      </c>
      <c r="O2150" s="357">
        <v>10.363875598086125</v>
      </c>
      <c r="P2150" s="343"/>
      <c r="Q2150" s="343"/>
      <c r="R2150" s="343">
        <v>3</v>
      </c>
    </row>
    <row r="2151" spans="1:18" ht="12.75">
      <c r="A2151" s="426" t="s">
        <v>3826</v>
      </c>
      <c r="B2151" s="427"/>
      <c r="C2151" s="427"/>
      <c r="D2151" s="427"/>
      <c r="E2151" s="427"/>
      <c r="F2151" s="427"/>
      <c r="G2151" s="427"/>
      <c r="H2151" s="427"/>
      <c r="I2151" s="427"/>
      <c r="J2151" s="427"/>
      <c r="K2151" s="427"/>
      <c r="L2151" s="427"/>
      <c r="M2151" s="427"/>
      <c r="N2151" s="427"/>
      <c r="O2151" s="427"/>
      <c r="P2151" s="427"/>
      <c r="Q2151" s="427"/>
      <c r="R2151" s="427"/>
    </row>
    <row r="2152" spans="1:18" ht="36">
      <c r="A2152" s="339">
        <v>65.108000000000004</v>
      </c>
      <c r="B2152" s="334" t="s">
        <v>3827</v>
      </c>
      <c r="C2152" s="340" t="s">
        <v>3828</v>
      </c>
      <c r="D2152" s="341">
        <v>2852.79</v>
      </c>
      <c r="E2152" s="341">
        <v>944.79</v>
      </c>
      <c r="F2152" s="341">
        <v>60.24</v>
      </c>
      <c r="G2152" s="341">
        <v>1847.76</v>
      </c>
      <c r="H2152" s="342">
        <v>20450.48</v>
      </c>
      <c r="I2152" s="342">
        <v>12329.65</v>
      </c>
      <c r="J2152" s="342">
        <v>405.78</v>
      </c>
      <c r="K2152" s="342">
        <v>7715.05</v>
      </c>
      <c r="L2152" s="357">
        <v>7.1685893458684307</v>
      </c>
      <c r="M2152" s="357">
        <v>13.05</v>
      </c>
      <c r="N2152" s="357">
        <v>6.7360557768924298</v>
      </c>
      <c r="O2152" s="357">
        <v>4.1753528596787461</v>
      </c>
      <c r="P2152" s="343"/>
      <c r="Q2152" s="343"/>
      <c r="R2152" s="343">
        <v>4</v>
      </c>
    </row>
    <row r="2153" spans="1:18" ht="36">
      <c r="A2153" s="339">
        <v>65.108999999999995</v>
      </c>
      <c r="B2153" s="334" t="s">
        <v>3829</v>
      </c>
      <c r="C2153" s="340" t="s">
        <v>3830</v>
      </c>
      <c r="D2153" s="341">
        <v>4467.46</v>
      </c>
      <c r="E2153" s="341">
        <v>962.78</v>
      </c>
      <c r="F2153" s="341">
        <v>74.39</v>
      </c>
      <c r="G2153" s="341">
        <v>3430.29</v>
      </c>
      <c r="H2153" s="342">
        <v>27163.58</v>
      </c>
      <c r="I2153" s="342">
        <v>12564.37</v>
      </c>
      <c r="J2153" s="342">
        <v>486.63</v>
      </c>
      <c r="K2153" s="342">
        <v>14112.58</v>
      </c>
      <c r="L2153" s="357">
        <v>6.0803185702837856</v>
      </c>
      <c r="M2153" s="357">
        <v>13.05</v>
      </c>
      <c r="N2153" s="357">
        <v>6.541605054442801</v>
      </c>
      <c r="O2153" s="357">
        <v>4.11410697054768</v>
      </c>
      <c r="P2153" s="343"/>
      <c r="Q2153" s="343"/>
      <c r="R2153" s="343">
        <v>4</v>
      </c>
    </row>
    <row r="2154" spans="1:18" ht="36">
      <c r="A2154" s="339">
        <v>65.11</v>
      </c>
      <c r="B2154" s="334" t="s">
        <v>3831</v>
      </c>
      <c r="C2154" s="340" t="s">
        <v>3832</v>
      </c>
      <c r="D2154" s="341">
        <v>6529.56</v>
      </c>
      <c r="E2154" s="341">
        <v>1174.3800000000001</v>
      </c>
      <c r="F2154" s="341">
        <v>192.03</v>
      </c>
      <c r="G2154" s="341">
        <v>5163.1499999999996</v>
      </c>
      <c r="H2154" s="342">
        <v>39135.72</v>
      </c>
      <c r="I2154" s="342">
        <v>15325.77</v>
      </c>
      <c r="J2154" s="342">
        <v>1289.92</v>
      </c>
      <c r="K2154" s="342">
        <v>22520.03</v>
      </c>
      <c r="L2154" s="357">
        <v>5.9936228474813005</v>
      </c>
      <c r="M2154" s="357">
        <v>13.05</v>
      </c>
      <c r="N2154" s="357">
        <v>6.7172837577461859</v>
      </c>
      <c r="O2154" s="357">
        <v>4.3616842431461418</v>
      </c>
      <c r="P2154" s="343"/>
      <c r="Q2154" s="343"/>
      <c r="R2154" s="343">
        <v>4</v>
      </c>
    </row>
    <row r="2155" spans="1:18" ht="36">
      <c r="A2155" s="339">
        <v>65.111000000000004</v>
      </c>
      <c r="B2155" s="334" t="s">
        <v>3833</v>
      </c>
      <c r="C2155" s="340" t="s">
        <v>3834</v>
      </c>
      <c r="D2155" s="341">
        <v>10625.37</v>
      </c>
      <c r="E2155" s="341">
        <v>1375.4</v>
      </c>
      <c r="F2155" s="341">
        <v>307.95999999999998</v>
      </c>
      <c r="G2155" s="341">
        <v>8942.01</v>
      </c>
      <c r="H2155" s="342">
        <v>58459.81</v>
      </c>
      <c r="I2155" s="342">
        <v>17949.099999999999</v>
      </c>
      <c r="J2155" s="342">
        <v>2076.6</v>
      </c>
      <c r="K2155" s="342">
        <v>38434.11</v>
      </c>
      <c r="L2155" s="357">
        <v>5.5019081688449427</v>
      </c>
      <c r="M2155" s="357">
        <v>13.05</v>
      </c>
      <c r="N2155" s="357">
        <v>6.7430835173399144</v>
      </c>
      <c r="O2155" s="357">
        <v>4.2981510868361807</v>
      </c>
      <c r="P2155" s="343"/>
      <c r="Q2155" s="343"/>
      <c r="R2155" s="343">
        <v>4</v>
      </c>
    </row>
    <row r="2156" spans="1:18" ht="48">
      <c r="A2156" s="339">
        <v>65.111999999999995</v>
      </c>
      <c r="B2156" s="334" t="s">
        <v>3835</v>
      </c>
      <c r="C2156" s="340" t="s">
        <v>3836</v>
      </c>
      <c r="D2156" s="341">
        <v>3437</v>
      </c>
      <c r="E2156" s="341">
        <v>1849.89</v>
      </c>
      <c r="F2156" s="341">
        <v>75.760000000000005</v>
      </c>
      <c r="G2156" s="341">
        <v>1511.35</v>
      </c>
      <c r="H2156" s="342">
        <v>30477.81</v>
      </c>
      <c r="I2156" s="342">
        <v>24140.34</v>
      </c>
      <c r="J2156" s="342">
        <v>402.93</v>
      </c>
      <c r="K2156" s="342">
        <v>5934.54</v>
      </c>
      <c r="L2156" s="357">
        <v>8.8675618271748622</v>
      </c>
      <c r="M2156" s="357">
        <v>13.05</v>
      </c>
      <c r="N2156" s="357">
        <v>5.3185058078141498</v>
      </c>
      <c r="O2156" s="357">
        <v>3.9266483607370897</v>
      </c>
      <c r="P2156" s="343"/>
      <c r="Q2156" s="343"/>
      <c r="R2156" s="343">
        <v>4</v>
      </c>
    </row>
    <row r="2157" spans="1:18" ht="48">
      <c r="A2157" s="339">
        <v>65.113</v>
      </c>
      <c r="B2157" s="334" t="s">
        <v>3837</v>
      </c>
      <c r="C2157" s="340" t="s">
        <v>3838</v>
      </c>
      <c r="D2157" s="341">
        <v>4560.62</v>
      </c>
      <c r="E2157" s="341">
        <v>1999.26</v>
      </c>
      <c r="F2157" s="341">
        <v>76.38</v>
      </c>
      <c r="G2157" s="341">
        <v>2484.98</v>
      </c>
      <c r="H2157" s="342">
        <v>36132.93</v>
      </c>
      <c r="I2157" s="342">
        <v>26089.56</v>
      </c>
      <c r="J2157" s="342">
        <v>406.74</v>
      </c>
      <c r="K2157" s="342">
        <v>9636.6299999999992</v>
      </c>
      <c r="L2157" s="357">
        <v>7.9228109336011334</v>
      </c>
      <c r="M2157" s="357">
        <v>13.05</v>
      </c>
      <c r="N2157" s="357">
        <v>5.3252160251374709</v>
      </c>
      <c r="O2157" s="357">
        <v>3.8779507279736656</v>
      </c>
      <c r="P2157" s="343"/>
      <c r="Q2157" s="343"/>
      <c r="R2157" s="343">
        <v>4</v>
      </c>
    </row>
    <row r="2158" spans="1:18" ht="48">
      <c r="A2158" s="339">
        <v>65.114000000000004</v>
      </c>
      <c r="B2158" s="334" t="s">
        <v>3839</v>
      </c>
      <c r="C2158" s="340" t="s">
        <v>3840</v>
      </c>
      <c r="D2158" s="341">
        <v>5428.94</v>
      </c>
      <c r="E2158" s="341">
        <v>2102.67</v>
      </c>
      <c r="F2158" s="341">
        <v>77</v>
      </c>
      <c r="G2158" s="341">
        <v>3249.27</v>
      </c>
      <c r="H2158" s="342">
        <v>40521.620000000003</v>
      </c>
      <c r="I2158" s="342">
        <v>27439.02</v>
      </c>
      <c r="J2158" s="342">
        <v>410.54</v>
      </c>
      <c r="K2158" s="342">
        <v>12672.06</v>
      </c>
      <c r="L2158" s="357">
        <v>7.4640021809045605</v>
      </c>
      <c r="M2158" s="357">
        <v>13.05</v>
      </c>
      <c r="N2158" s="357">
        <v>5.3316883116883123</v>
      </c>
      <c r="O2158" s="357">
        <v>3.8999713781864846</v>
      </c>
      <c r="P2158" s="343"/>
      <c r="Q2158" s="343"/>
      <c r="R2158" s="343">
        <v>4</v>
      </c>
    </row>
    <row r="2159" spans="1:18" ht="48">
      <c r="A2159" s="339">
        <v>65.114999999999995</v>
      </c>
      <c r="B2159" s="334" t="s">
        <v>3841</v>
      </c>
      <c r="C2159" s="340" t="s">
        <v>3842</v>
      </c>
      <c r="D2159" s="341">
        <v>3007.56</v>
      </c>
      <c r="E2159" s="341">
        <v>1401.78</v>
      </c>
      <c r="F2159" s="341">
        <v>75.760000000000005</v>
      </c>
      <c r="G2159" s="341">
        <v>1530.02</v>
      </c>
      <c r="H2159" s="342">
        <v>24702.93</v>
      </c>
      <c r="I2159" s="342">
        <v>18292.68</v>
      </c>
      <c r="J2159" s="342">
        <v>402.93</v>
      </c>
      <c r="K2159" s="342">
        <v>6007.32</v>
      </c>
      <c r="L2159" s="357">
        <v>8.2136116985197312</v>
      </c>
      <c r="M2159" s="357">
        <v>13.05</v>
      </c>
      <c r="N2159" s="357">
        <v>5.3185058078141498</v>
      </c>
      <c r="O2159" s="357">
        <v>3.926301616972327</v>
      </c>
      <c r="P2159" s="343"/>
      <c r="Q2159" s="343"/>
      <c r="R2159" s="343">
        <v>4</v>
      </c>
    </row>
    <row r="2160" spans="1:18" ht="48">
      <c r="A2160" s="339">
        <v>65.116</v>
      </c>
      <c r="B2160" s="334" t="s">
        <v>3843</v>
      </c>
      <c r="C2160" s="340" t="s">
        <v>3844</v>
      </c>
      <c r="D2160" s="341">
        <v>4270.9399999999996</v>
      </c>
      <c r="E2160" s="341">
        <v>1792.44</v>
      </c>
      <c r="F2160" s="341">
        <v>76.38</v>
      </c>
      <c r="G2160" s="341">
        <v>2402.12</v>
      </c>
      <c r="H2160" s="342">
        <v>36828.800000000003</v>
      </c>
      <c r="I2160" s="342">
        <v>23390.639999999999</v>
      </c>
      <c r="J2160" s="342">
        <v>406.74</v>
      </c>
      <c r="K2160" s="342">
        <v>13031.42</v>
      </c>
      <c r="L2160" s="357">
        <v>8.6231134129723213</v>
      </c>
      <c r="M2160" s="357">
        <v>13.05</v>
      </c>
      <c r="N2160" s="357">
        <v>5.3252160251374709</v>
      </c>
      <c r="O2160" s="357">
        <v>5.4249662797861893</v>
      </c>
      <c r="P2160" s="343"/>
      <c r="Q2160" s="343"/>
      <c r="R2160" s="343">
        <v>4</v>
      </c>
    </row>
    <row r="2161" spans="1:18" ht="48">
      <c r="A2161" s="339">
        <v>65.117000000000004</v>
      </c>
      <c r="B2161" s="334" t="s">
        <v>3845</v>
      </c>
      <c r="C2161" s="340" t="s">
        <v>3846</v>
      </c>
      <c r="D2161" s="341">
        <v>5210.7</v>
      </c>
      <c r="E2161" s="341">
        <v>1918.83</v>
      </c>
      <c r="F2161" s="341">
        <v>82.25</v>
      </c>
      <c r="G2161" s="341">
        <v>3209.62</v>
      </c>
      <c r="H2161" s="342">
        <v>42879</v>
      </c>
      <c r="I2161" s="342">
        <v>25039.98</v>
      </c>
      <c r="J2161" s="342">
        <v>437.07</v>
      </c>
      <c r="K2161" s="342">
        <v>17401.95</v>
      </c>
      <c r="L2161" s="357">
        <v>8.2290287293453854</v>
      </c>
      <c r="M2161" s="357">
        <v>13.05</v>
      </c>
      <c r="N2161" s="357">
        <v>5.313920972644377</v>
      </c>
      <c r="O2161" s="357">
        <v>5.4218100585115998</v>
      </c>
      <c r="P2161" s="343"/>
      <c r="Q2161" s="343"/>
      <c r="R2161" s="343">
        <v>4</v>
      </c>
    </row>
    <row r="2162" spans="1:18" ht="12.75">
      <c r="A2162" s="426" t="s">
        <v>3847</v>
      </c>
      <c r="B2162" s="427"/>
      <c r="C2162" s="427"/>
      <c r="D2162" s="427"/>
      <c r="E2162" s="427"/>
      <c r="F2162" s="427"/>
      <c r="G2162" s="427"/>
      <c r="H2162" s="427"/>
      <c r="I2162" s="427"/>
      <c r="J2162" s="427"/>
      <c r="K2162" s="427"/>
      <c r="L2162" s="427"/>
      <c r="M2162" s="427"/>
      <c r="N2162" s="427"/>
      <c r="O2162" s="427"/>
      <c r="P2162" s="427"/>
      <c r="Q2162" s="427"/>
      <c r="R2162" s="427"/>
    </row>
    <row r="2163" spans="1:18" ht="24">
      <c r="A2163" s="339">
        <v>65.117999999999995</v>
      </c>
      <c r="B2163" s="334" t="s">
        <v>3848</v>
      </c>
      <c r="C2163" s="340" t="s">
        <v>3849</v>
      </c>
      <c r="D2163" s="341">
        <v>1633.04</v>
      </c>
      <c r="E2163" s="341">
        <v>326.02999999999997</v>
      </c>
      <c r="F2163" s="341">
        <v>0.73</v>
      </c>
      <c r="G2163" s="341">
        <v>1306.28</v>
      </c>
      <c r="H2163" s="342">
        <v>6988.83</v>
      </c>
      <c r="I2163" s="342">
        <v>4254.78</v>
      </c>
      <c r="J2163" s="342">
        <v>5.56</v>
      </c>
      <c r="K2163" s="342">
        <v>2728.49</v>
      </c>
      <c r="L2163" s="357">
        <v>4.2796440993484541</v>
      </c>
      <c r="M2163" s="357">
        <v>13.05</v>
      </c>
      <c r="N2163" s="357">
        <v>7.6164383561643829</v>
      </c>
      <c r="O2163" s="357">
        <v>2.0887482009982543</v>
      </c>
      <c r="P2163" s="343"/>
      <c r="Q2163" s="343"/>
      <c r="R2163" s="343">
        <v>5</v>
      </c>
    </row>
    <row r="2164" spans="1:18" ht="24">
      <c r="A2164" s="339">
        <v>65.119</v>
      </c>
      <c r="B2164" s="334" t="s">
        <v>3850</v>
      </c>
      <c r="C2164" s="340" t="s">
        <v>3851</v>
      </c>
      <c r="D2164" s="341">
        <v>2517.41</v>
      </c>
      <c r="E2164" s="341">
        <v>472.58</v>
      </c>
      <c r="F2164" s="341">
        <v>1.83</v>
      </c>
      <c r="G2164" s="341">
        <v>2043</v>
      </c>
      <c r="H2164" s="342">
        <v>10468.32</v>
      </c>
      <c r="I2164" s="342">
        <v>6167.2</v>
      </c>
      <c r="J2164" s="342">
        <v>13.9</v>
      </c>
      <c r="K2164" s="342">
        <v>4287.22</v>
      </c>
      <c r="L2164" s="357">
        <v>4.1583691174659672</v>
      </c>
      <c r="M2164" s="357">
        <v>13.05</v>
      </c>
      <c r="N2164" s="357">
        <v>7.5956284153005464</v>
      </c>
      <c r="O2164" s="357">
        <v>2.0984924131179641</v>
      </c>
      <c r="P2164" s="343"/>
      <c r="Q2164" s="343"/>
      <c r="R2164" s="343">
        <v>5</v>
      </c>
    </row>
    <row r="2165" spans="1:18" ht="24">
      <c r="A2165" s="339">
        <v>65.12</v>
      </c>
      <c r="B2165" s="334" t="s">
        <v>3852</v>
      </c>
      <c r="C2165" s="340" t="s">
        <v>3853</v>
      </c>
      <c r="D2165" s="341">
        <v>4223.8</v>
      </c>
      <c r="E2165" s="341">
        <v>806.56</v>
      </c>
      <c r="F2165" s="341">
        <v>4.03</v>
      </c>
      <c r="G2165" s="341">
        <v>3413.21</v>
      </c>
      <c r="H2165" s="342">
        <v>17699.580000000002</v>
      </c>
      <c r="I2165" s="342">
        <v>10525.75</v>
      </c>
      <c r="J2165" s="342">
        <v>30.57</v>
      </c>
      <c r="K2165" s="342">
        <v>7143.26</v>
      </c>
      <c r="L2165" s="357">
        <v>4.1904398882522846</v>
      </c>
      <c r="M2165" s="357">
        <v>13.05</v>
      </c>
      <c r="N2165" s="357">
        <v>7.5856079404466499</v>
      </c>
      <c r="O2165" s="357">
        <v>2.0928275728712853</v>
      </c>
      <c r="P2165" s="343"/>
      <c r="Q2165" s="343"/>
      <c r="R2165" s="343">
        <v>5</v>
      </c>
    </row>
    <row r="2166" spans="1:18" ht="12.75">
      <c r="A2166" s="426" t="s">
        <v>3854</v>
      </c>
      <c r="B2166" s="427"/>
      <c r="C2166" s="427"/>
      <c r="D2166" s="427"/>
      <c r="E2166" s="427"/>
      <c r="F2166" s="427"/>
      <c r="G2166" s="427"/>
      <c r="H2166" s="427"/>
      <c r="I2166" s="427"/>
      <c r="J2166" s="427"/>
      <c r="K2166" s="427"/>
      <c r="L2166" s="427"/>
      <c r="M2166" s="427"/>
      <c r="N2166" s="427"/>
      <c r="O2166" s="427"/>
      <c r="P2166" s="427"/>
      <c r="Q2166" s="427"/>
      <c r="R2166" s="427"/>
    </row>
    <row r="2167" spans="1:18" ht="24">
      <c r="A2167" s="339">
        <v>65.120999999999995</v>
      </c>
      <c r="B2167" s="334" t="s">
        <v>3855</v>
      </c>
      <c r="C2167" s="340" t="s">
        <v>3856</v>
      </c>
      <c r="D2167" s="341">
        <v>3934.6</v>
      </c>
      <c r="E2167" s="341">
        <v>1184.96</v>
      </c>
      <c r="F2167" s="341">
        <v>10.49</v>
      </c>
      <c r="G2167" s="341">
        <v>2739.15</v>
      </c>
      <c r="H2167" s="342">
        <v>26051.360000000001</v>
      </c>
      <c r="I2167" s="342">
        <v>15463.84</v>
      </c>
      <c r="J2167" s="342">
        <v>53.07</v>
      </c>
      <c r="K2167" s="342">
        <v>10534.45</v>
      </c>
      <c r="L2167" s="357">
        <v>6.6210949016418441</v>
      </c>
      <c r="M2167" s="357">
        <v>13.05</v>
      </c>
      <c r="N2167" s="357">
        <v>5.0591039084842704</v>
      </c>
      <c r="O2167" s="357">
        <v>3.8458828468685544</v>
      </c>
      <c r="P2167" s="343"/>
      <c r="Q2167" s="343"/>
      <c r="R2167" s="343">
        <v>6</v>
      </c>
    </row>
    <row r="2168" spans="1:18" ht="24">
      <c r="A2168" s="339">
        <v>65.122</v>
      </c>
      <c r="B2168" s="334" t="s">
        <v>3857</v>
      </c>
      <c r="C2168" s="340" t="s">
        <v>3858</v>
      </c>
      <c r="D2168" s="341">
        <v>6463.49</v>
      </c>
      <c r="E2168" s="341">
        <v>1438.88</v>
      </c>
      <c r="F2168" s="341">
        <v>10.49</v>
      </c>
      <c r="G2168" s="341">
        <v>5014.12</v>
      </c>
      <c r="H2168" s="342">
        <v>40708.93</v>
      </c>
      <c r="I2168" s="342">
        <v>18777.52</v>
      </c>
      <c r="J2168" s="342">
        <v>53.07</v>
      </c>
      <c r="K2168" s="342">
        <v>21878.34</v>
      </c>
      <c r="L2168" s="357">
        <v>6.2982893142868637</v>
      </c>
      <c r="M2168" s="357">
        <v>13.05</v>
      </c>
      <c r="N2168" s="357">
        <v>5.0591039084842704</v>
      </c>
      <c r="O2168" s="357">
        <v>4.3633459111469213</v>
      </c>
      <c r="P2168" s="343"/>
      <c r="Q2168" s="343"/>
      <c r="R2168" s="343">
        <v>6</v>
      </c>
    </row>
    <row r="2169" spans="1:18" ht="24">
      <c r="A2169" s="339">
        <v>65.123000000000005</v>
      </c>
      <c r="B2169" s="334" t="s">
        <v>3859</v>
      </c>
      <c r="C2169" s="340" t="s">
        <v>3860</v>
      </c>
      <c r="D2169" s="341">
        <v>8766.84</v>
      </c>
      <c r="E2169" s="341">
        <v>1798.6</v>
      </c>
      <c r="F2169" s="341">
        <v>31.47</v>
      </c>
      <c r="G2169" s="341">
        <v>6936.77</v>
      </c>
      <c r="H2169" s="342">
        <v>52442.46</v>
      </c>
      <c r="I2169" s="342">
        <v>23471.9</v>
      </c>
      <c r="J2169" s="342">
        <v>159.19999999999999</v>
      </c>
      <c r="K2169" s="342">
        <v>28811.360000000001</v>
      </c>
      <c r="L2169" s="357">
        <v>5.9819113842616041</v>
      </c>
      <c r="M2169" s="357">
        <v>13.05</v>
      </c>
      <c r="N2169" s="357">
        <v>5.0587861455354304</v>
      </c>
      <c r="O2169" s="357">
        <v>4.1534258740018766</v>
      </c>
      <c r="P2169" s="343"/>
      <c r="Q2169" s="343"/>
      <c r="R2169" s="343">
        <v>6</v>
      </c>
    </row>
    <row r="2170" spans="1:18" ht="12.75">
      <c r="A2170" s="426" t="s">
        <v>3861</v>
      </c>
      <c r="B2170" s="427"/>
      <c r="C2170" s="427"/>
      <c r="D2170" s="427"/>
      <c r="E2170" s="427"/>
      <c r="F2170" s="427"/>
      <c r="G2170" s="427"/>
      <c r="H2170" s="427"/>
      <c r="I2170" s="427"/>
      <c r="J2170" s="427"/>
      <c r="K2170" s="427"/>
      <c r="L2170" s="427"/>
      <c r="M2170" s="427"/>
      <c r="N2170" s="427"/>
      <c r="O2170" s="427"/>
      <c r="P2170" s="427"/>
      <c r="Q2170" s="427"/>
      <c r="R2170" s="427"/>
    </row>
    <row r="2171" spans="1:18" ht="24">
      <c r="A2171" s="339">
        <v>65.123999999999995</v>
      </c>
      <c r="B2171" s="334" t="s">
        <v>3862</v>
      </c>
      <c r="C2171" s="340" t="s">
        <v>3863</v>
      </c>
      <c r="D2171" s="341">
        <v>4083.39</v>
      </c>
      <c r="E2171" s="341">
        <v>3120.77</v>
      </c>
      <c r="F2171" s="341">
        <v>1.05</v>
      </c>
      <c r="G2171" s="341">
        <v>961.57</v>
      </c>
      <c r="H2171" s="342">
        <v>46385.71</v>
      </c>
      <c r="I2171" s="342">
        <v>40727.230000000003</v>
      </c>
      <c r="J2171" s="342">
        <v>5.31</v>
      </c>
      <c r="K2171" s="342">
        <v>5653.17</v>
      </c>
      <c r="L2171" s="357">
        <v>11.359608070745141</v>
      </c>
      <c r="M2171" s="357">
        <v>13.05</v>
      </c>
      <c r="N2171" s="357">
        <v>5.0571428571428569</v>
      </c>
      <c r="O2171" s="357">
        <v>5.8791039653899348</v>
      </c>
      <c r="P2171" s="343"/>
      <c r="Q2171" s="343"/>
      <c r="R2171" s="343">
        <v>7</v>
      </c>
    </row>
    <row r="2172" spans="1:18" ht="24">
      <c r="A2172" s="339">
        <v>65.125</v>
      </c>
      <c r="B2172" s="334" t="s">
        <v>3864</v>
      </c>
      <c r="C2172" s="340" t="s">
        <v>3865</v>
      </c>
      <c r="D2172" s="341">
        <v>8923.02</v>
      </c>
      <c r="E2172" s="341">
        <v>5374.66</v>
      </c>
      <c r="F2172" s="341">
        <v>4.2</v>
      </c>
      <c r="G2172" s="341">
        <v>3544.16</v>
      </c>
      <c r="H2172" s="342">
        <v>88978.16</v>
      </c>
      <c r="I2172" s="342">
        <v>70141.34</v>
      </c>
      <c r="J2172" s="342">
        <v>21.23</v>
      </c>
      <c r="K2172" s="342">
        <v>18815.59</v>
      </c>
      <c r="L2172" s="357">
        <v>9.9717539577407646</v>
      </c>
      <c r="M2172" s="357">
        <v>13.05</v>
      </c>
      <c r="N2172" s="357">
        <v>5.0547619047619046</v>
      </c>
      <c r="O2172" s="357">
        <v>5.3088997110739928</v>
      </c>
      <c r="P2172" s="343"/>
      <c r="Q2172" s="343"/>
      <c r="R2172" s="343">
        <v>7</v>
      </c>
    </row>
    <row r="2173" spans="1:18" ht="24">
      <c r="A2173" s="339">
        <v>65.126000000000005</v>
      </c>
      <c r="B2173" s="334" t="s">
        <v>3866</v>
      </c>
      <c r="C2173" s="340" t="s">
        <v>3867</v>
      </c>
      <c r="D2173" s="341">
        <v>5369.03</v>
      </c>
      <c r="E2173" s="341">
        <v>3901.99</v>
      </c>
      <c r="F2173" s="341">
        <v>2.1</v>
      </c>
      <c r="G2173" s="341">
        <v>1464.94</v>
      </c>
      <c r="H2173" s="342">
        <v>59506.17</v>
      </c>
      <c r="I2173" s="342">
        <v>50922.51</v>
      </c>
      <c r="J2173" s="342">
        <v>10.61</v>
      </c>
      <c r="K2173" s="342">
        <v>8573.0499999999993</v>
      </c>
      <c r="L2173" s="357">
        <v>11.083225461582446</v>
      </c>
      <c r="M2173" s="357">
        <v>13.05</v>
      </c>
      <c r="N2173" s="357">
        <v>5.0523809523809522</v>
      </c>
      <c r="O2173" s="357">
        <v>5.8521509413354806</v>
      </c>
      <c r="P2173" s="343"/>
      <c r="Q2173" s="343"/>
      <c r="R2173" s="343">
        <v>7</v>
      </c>
    </row>
    <row r="2174" spans="1:18" ht="24">
      <c r="A2174" s="339">
        <v>65.126999999999995</v>
      </c>
      <c r="B2174" s="334" t="s">
        <v>3868</v>
      </c>
      <c r="C2174" s="340" t="s">
        <v>3869</v>
      </c>
      <c r="D2174" s="341">
        <v>13881.36</v>
      </c>
      <c r="E2174" s="341">
        <v>7566.62</v>
      </c>
      <c r="F2174" s="341">
        <v>7.34</v>
      </c>
      <c r="G2174" s="341">
        <v>6307.4</v>
      </c>
      <c r="H2174" s="342">
        <v>131403.01</v>
      </c>
      <c r="I2174" s="342">
        <v>98747.38</v>
      </c>
      <c r="J2174" s="342">
        <v>37.15</v>
      </c>
      <c r="K2174" s="342">
        <v>32618.48</v>
      </c>
      <c r="L2174" s="357">
        <v>9.466148129578082</v>
      </c>
      <c r="M2174" s="357">
        <v>13.05</v>
      </c>
      <c r="N2174" s="357">
        <v>5.061307901907357</v>
      </c>
      <c r="O2174" s="357">
        <v>5.1714620921457337</v>
      </c>
      <c r="P2174" s="343"/>
      <c r="Q2174" s="343"/>
      <c r="R2174" s="343">
        <v>7</v>
      </c>
    </row>
    <row r="2175" spans="1:18" ht="24">
      <c r="A2175" s="339">
        <v>65.128</v>
      </c>
      <c r="B2175" s="334" t="s">
        <v>3870</v>
      </c>
      <c r="C2175" s="340" t="s">
        <v>3871</v>
      </c>
      <c r="D2175" s="341">
        <v>7530.37</v>
      </c>
      <c r="E2175" s="341">
        <v>5198.18</v>
      </c>
      <c r="F2175" s="341">
        <v>3.15</v>
      </c>
      <c r="G2175" s="341">
        <v>2329.04</v>
      </c>
      <c r="H2175" s="342">
        <v>81391.44</v>
      </c>
      <c r="I2175" s="342">
        <v>67838.320000000007</v>
      </c>
      <c r="J2175" s="342">
        <v>15.92</v>
      </c>
      <c r="K2175" s="342">
        <v>13537.2</v>
      </c>
      <c r="L2175" s="357">
        <v>10.808425084026416</v>
      </c>
      <c r="M2175" s="357">
        <v>13.05</v>
      </c>
      <c r="N2175" s="357">
        <v>5.0539682539682538</v>
      </c>
      <c r="O2175" s="357">
        <v>5.8123518702984924</v>
      </c>
      <c r="P2175" s="343"/>
      <c r="Q2175" s="343"/>
      <c r="R2175" s="343">
        <v>7</v>
      </c>
    </row>
    <row r="2176" spans="1:18" ht="24">
      <c r="A2176" s="339">
        <v>65.129000000000005</v>
      </c>
      <c r="B2176" s="334" t="s">
        <v>3872</v>
      </c>
      <c r="C2176" s="340" t="s">
        <v>3873</v>
      </c>
      <c r="D2176" s="341">
        <v>18893.189999999999</v>
      </c>
      <c r="E2176" s="341">
        <v>10189.969999999999</v>
      </c>
      <c r="F2176" s="341">
        <v>9.44</v>
      </c>
      <c r="G2176" s="341">
        <v>8693.7800000000007</v>
      </c>
      <c r="H2176" s="342">
        <v>179151.41</v>
      </c>
      <c r="I2176" s="342">
        <v>132983.03</v>
      </c>
      <c r="J2176" s="342">
        <v>47.76</v>
      </c>
      <c r="K2176" s="342">
        <v>46120.62</v>
      </c>
      <c r="L2176" s="357">
        <v>9.4823272300760237</v>
      </c>
      <c r="M2176" s="357">
        <v>13.05</v>
      </c>
      <c r="N2176" s="357">
        <v>5.0593220338983054</v>
      </c>
      <c r="O2176" s="357">
        <v>5.3050134693999613</v>
      </c>
      <c r="P2176" s="343"/>
      <c r="Q2176" s="343"/>
      <c r="R2176" s="343">
        <v>7</v>
      </c>
    </row>
    <row r="2177" spans="1:18" ht="24">
      <c r="A2177" s="339">
        <v>65.13</v>
      </c>
      <c r="B2177" s="334" t="s">
        <v>3874</v>
      </c>
      <c r="C2177" s="340" t="s">
        <v>3875</v>
      </c>
      <c r="D2177" s="341">
        <v>6525.95</v>
      </c>
      <c r="E2177" s="341">
        <v>3814.27</v>
      </c>
      <c r="F2177" s="341">
        <v>3.15</v>
      </c>
      <c r="G2177" s="341">
        <v>2708.53</v>
      </c>
      <c r="H2177" s="342">
        <v>63841.65</v>
      </c>
      <c r="I2177" s="342">
        <v>49777.73</v>
      </c>
      <c r="J2177" s="342">
        <v>15.92</v>
      </c>
      <c r="K2177" s="342">
        <v>14048</v>
      </c>
      <c r="L2177" s="357">
        <v>9.7827366130601678</v>
      </c>
      <c r="M2177" s="357">
        <v>13.05</v>
      </c>
      <c r="N2177" s="357">
        <v>5.0539682539682538</v>
      </c>
      <c r="O2177" s="357">
        <v>5.1865772208541161</v>
      </c>
      <c r="P2177" s="343"/>
      <c r="Q2177" s="343"/>
      <c r="R2177" s="343">
        <v>7</v>
      </c>
    </row>
    <row r="2178" spans="1:18" ht="24">
      <c r="A2178" s="339">
        <v>65.131</v>
      </c>
      <c r="B2178" s="334" t="s">
        <v>3876</v>
      </c>
      <c r="C2178" s="340" t="s">
        <v>3877</v>
      </c>
      <c r="D2178" s="341">
        <v>8973.1</v>
      </c>
      <c r="E2178" s="341">
        <v>5374.66</v>
      </c>
      <c r="F2178" s="341">
        <v>4.2</v>
      </c>
      <c r="G2178" s="341">
        <v>3594.24</v>
      </c>
      <c r="H2178" s="342">
        <v>89206.26</v>
      </c>
      <c r="I2178" s="342">
        <v>70141.34</v>
      </c>
      <c r="J2178" s="342">
        <v>21.23</v>
      </c>
      <c r="K2178" s="342">
        <v>19043.689999999999</v>
      </c>
      <c r="L2178" s="357">
        <v>9.9415207676276864</v>
      </c>
      <c r="M2178" s="357">
        <v>13.05</v>
      </c>
      <c r="N2178" s="357">
        <v>5.0547619047619046</v>
      </c>
      <c r="O2178" s="357">
        <v>5.2983913149928776</v>
      </c>
      <c r="P2178" s="343"/>
      <c r="Q2178" s="343"/>
      <c r="R2178" s="343">
        <v>7</v>
      </c>
    </row>
    <row r="2179" spans="1:18">
      <c r="A2179" s="339">
        <v>65.132000000000005</v>
      </c>
      <c r="B2179" s="334" t="s">
        <v>3878</v>
      </c>
      <c r="C2179" s="340" t="s">
        <v>3879</v>
      </c>
      <c r="D2179" s="341">
        <v>7447.43</v>
      </c>
      <c r="E2179" s="341">
        <v>6133.18</v>
      </c>
      <c r="F2179" s="341">
        <v>1.05</v>
      </c>
      <c r="G2179" s="341">
        <v>1313.2</v>
      </c>
      <c r="H2179" s="342">
        <v>87221.5</v>
      </c>
      <c r="I2179" s="342">
        <v>80040.320000000007</v>
      </c>
      <c r="J2179" s="342">
        <v>5.31</v>
      </c>
      <c r="K2179" s="342">
        <v>7175.87</v>
      </c>
      <c r="L2179" s="357">
        <v>11.711624009893345</v>
      </c>
      <c r="M2179" s="357">
        <v>13.05</v>
      </c>
      <c r="N2179" s="357">
        <v>5.0571428571428569</v>
      </c>
      <c r="O2179" s="357">
        <v>5.4644151690526952</v>
      </c>
      <c r="P2179" s="343"/>
      <c r="Q2179" s="343"/>
      <c r="R2179" s="343">
        <v>7</v>
      </c>
    </row>
    <row r="2180" spans="1:18" ht="12.75">
      <c r="A2180" s="426" t="s">
        <v>3880</v>
      </c>
      <c r="B2180" s="427"/>
      <c r="C2180" s="427"/>
      <c r="D2180" s="427"/>
      <c r="E2180" s="427"/>
      <c r="F2180" s="427"/>
      <c r="G2180" s="427"/>
      <c r="H2180" s="427"/>
      <c r="I2180" s="427"/>
      <c r="J2180" s="427"/>
      <c r="K2180" s="427"/>
      <c r="L2180" s="427"/>
      <c r="M2180" s="427"/>
      <c r="N2180" s="427"/>
      <c r="O2180" s="427"/>
      <c r="P2180" s="427"/>
      <c r="Q2180" s="427"/>
      <c r="R2180" s="427"/>
    </row>
    <row r="2181" spans="1:18">
      <c r="A2181" s="339">
        <v>65.132999999999996</v>
      </c>
      <c r="B2181" s="334" t="s">
        <v>3881</v>
      </c>
      <c r="C2181" s="340" t="s">
        <v>3882</v>
      </c>
      <c r="D2181" s="341">
        <v>1117.1099999999999</v>
      </c>
      <c r="E2181" s="341">
        <v>1035.0999999999999</v>
      </c>
      <c r="F2181" s="341">
        <v>82.01</v>
      </c>
      <c r="G2181" s="341"/>
      <c r="H2181" s="342">
        <v>14130.5</v>
      </c>
      <c r="I2181" s="342">
        <v>13508</v>
      </c>
      <c r="J2181" s="342">
        <v>622.5</v>
      </c>
      <c r="K2181" s="342"/>
      <c r="L2181" s="357">
        <v>12.649157200275713</v>
      </c>
      <c r="M2181" s="357">
        <v>13.05</v>
      </c>
      <c r="N2181" s="357">
        <v>7.5905377393000846</v>
      </c>
      <c r="O2181" s="357" t="s">
        <v>135</v>
      </c>
      <c r="P2181" s="343"/>
      <c r="Q2181" s="343"/>
      <c r="R2181" s="343">
        <v>8</v>
      </c>
    </row>
    <row r="2182" spans="1:18">
      <c r="A2182" s="339">
        <v>65.134</v>
      </c>
      <c r="B2182" s="334" t="s">
        <v>3883</v>
      </c>
      <c r="C2182" s="340" t="s">
        <v>3884</v>
      </c>
      <c r="D2182" s="341">
        <v>1626.63</v>
      </c>
      <c r="E2182" s="341">
        <v>1486.78</v>
      </c>
      <c r="F2182" s="341">
        <v>139.85</v>
      </c>
      <c r="G2182" s="341"/>
      <c r="H2182" s="342">
        <v>20463.98</v>
      </c>
      <c r="I2182" s="342">
        <v>19402.400000000001</v>
      </c>
      <c r="J2182" s="342">
        <v>1061.58</v>
      </c>
      <c r="K2182" s="342"/>
      <c r="L2182" s="357">
        <v>12.580599152849755</v>
      </c>
      <c r="M2182" s="357">
        <v>13.05</v>
      </c>
      <c r="N2182" s="357">
        <v>7.5908473364318914</v>
      </c>
      <c r="O2182" s="357" t="s">
        <v>135</v>
      </c>
      <c r="P2182" s="343"/>
      <c r="Q2182" s="343"/>
      <c r="R2182" s="343">
        <v>8</v>
      </c>
    </row>
    <row r="2183" spans="1:18">
      <c r="A2183" s="339">
        <v>65.135000000000005</v>
      </c>
      <c r="B2183" s="334" t="s">
        <v>3885</v>
      </c>
      <c r="C2183" s="340" t="s">
        <v>3886</v>
      </c>
      <c r="D2183" s="341">
        <v>2490.79</v>
      </c>
      <c r="E2183" s="341">
        <v>2201.94</v>
      </c>
      <c r="F2183" s="341">
        <v>288.85000000000002</v>
      </c>
      <c r="G2183" s="341"/>
      <c r="H2183" s="342">
        <v>30927.83</v>
      </c>
      <c r="I2183" s="342">
        <v>28735.200000000001</v>
      </c>
      <c r="J2183" s="342">
        <v>2192.63</v>
      </c>
      <c r="K2183" s="342"/>
      <c r="L2183" s="357">
        <v>12.416875770337926</v>
      </c>
      <c r="M2183" s="357">
        <v>13.05</v>
      </c>
      <c r="N2183" s="357">
        <v>7.5908949281634062</v>
      </c>
      <c r="O2183" s="357" t="s">
        <v>135</v>
      </c>
      <c r="P2183" s="343"/>
      <c r="Q2183" s="343"/>
      <c r="R2183" s="343">
        <v>8</v>
      </c>
    </row>
    <row r="2184" spans="1:18">
      <c r="A2184" s="339">
        <v>65.135999999999996</v>
      </c>
      <c r="B2184" s="334" t="s">
        <v>3887</v>
      </c>
      <c r="C2184" s="340" t="s">
        <v>3888</v>
      </c>
      <c r="D2184" s="341">
        <v>876.51</v>
      </c>
      <c r="E2184" s="341">
        <v>818.67</v>
      </c>
      <c r="F2184" s="341">
        <v>57.84</v>
      </c>
      <c r="G2184" s="341"/>
      <c r="H2184" s="342">
        <v>11122.68</v>
      </c>
      <c r="I2184" s="342">
        <v>10683.6</v>
      </c>
      <c r="J2184" s="342">
        <v>439.08</v>
      </c>
      <c r="K2184" s="342"/>
      <c r="L2184" s="357">
        <v>12.689735428004244</v>
      </c>
      <c r="M2184" s="357">
        <v>13.05</v>
      </c>
      <c r="N2184" s="357">
        <v>7.5912863070539416</v>
      </c>
      <c r="O2184" s="357" t="s">
        <v>135</v>
      </c>
      <c r="P2184" s="343"/>
      <c r="Q2184" s="343"/>
      <c r="R2184" s="343">
        <v>8</v>
      </c>
    </row>
    <row r="2185" spans="1:18">
      <c r="A2185" s="339">
        <v>65.137</v>
      </c>
      <c r="B2185" s="334" t="s">
        <v>3889</v>
      </c>
      <c r="C2185" s="340" t="s">
        <v>3890</v>
      </c>
      <c r="D2185" s="341">
        <v>179.52</v>
      </c>
      <c r="E2185" s="341">
        <v>172.2</v>
      </c>
      <c r="F2185" s="341">
        <v>7.32</v>
      </c>
      <c r="G2185" s="341"/>
      <c r="H2185" s="342">
        <v>2302.8200000000002</v>
      </c>
      <c r="I2185" s="342">
        <v>2247.2399999999998</v>
      </c>
      <c r="J2185" s="342">
        <v>55.58</v>
      </c>
      <c r="K2185" s="342"/>
      <c r="L2185" s="357">
        <v>12.827651515151516</v>
      </c>
      <c r="M2185" s="357">
        <v>13.05</v>
      </c>
      <c r="N2185" s="357">
        <v>7.5928961748633874</v>
      </c>
      <c r="O2185" s="357" t="s">
        <v>135</v>
      </c>
      <c r="P2185" s="343"/>
      <c r="Q2185" s="343"/>
      <c r="R2185" s="343">
        <v>8</v>
      </c>
    </row>
    <row r="2186" spans="1:18">
      <c r="A2186" s="339">
        <v>65.138000000000005</v>
      </c>
      <c r="B2186" s="334" t="s">
        <v>3891</v>
      </c>
      <c r="C2186" s="340" t="s">
        <v>3892</v>
      </c>
      <c r="D2186" s="341">
        <v>2436.83</v>
      </c>
      <c r="E2186" s="341">
        <v>2303.5700000000002</v>
      </c>
      <c r="F2186" s="341">
        <v>133.26</v>
      </c>
      <c r="G2186" s="341"/>
      <c r="H2186" s="342">
        <v>31073</v>
      </c>
      <c r="I2186" s="342">
        <v>30061.439999999999</v>
      </c>
      <c r="J2186" s="342">
        <v>1011.56</v>
      </c>
      <c r="K2186" s="342"/>
      <c r="L2186" s="357">
        <v>12.751402436772365</v>
      </c>
      <c r="M2186" s="357">
        <v>13.05</v>
      </c>
      <c r="N2186" s="357">
        <v>7.5908749812396819</v>
      </c>
      <c r="O2186" s="357" t="s">
        <v>135</v>
      </c>
      <c r="P2186" s="343"/>
      <c r="Q2186" s="343"/>
      <c r="R2186" s="343">
        <v>8</v>
      </c>
    </row>
    <row r="2187" spans="1:18">
      <c r="A2187" s="339">
        <v>65.138999999999996</v>
      </c>
      <c r="B2187" s="334" t="s">
        <v>3893</v>
      </c>
      <c r="C2187" s="340" t="s">
        <v>3894</v>
      </c>
      <c r="D2187" s="341">
        <v>3082.73</v>
      </c>
      <c r="E2187" s="341">
        <v>2789.12</v>
      </c>
      <c r="F2187" s="341">
        <v>293.61</v>
      </c>
      <c r="G2187" s="341"/>
      <c r="H2187" s="342">
        <v>38626.68</v>
      </c>
      <c r="I2187" s="342">
        <v>36397.919999999998</v>
      </c>
      <c r="J2187" s="342">
        <v>2228.7600000000002</v>
      </c>
      <c r="K2187" s="342"/>
      <c r="L2187" s="357">
        <v>12.530023712748116</v>
      </c>
      <c r="M2187" s="357">
        <v>13.05</v>
      </c>
      <c r="N2187" s="357">
        <v>7.5908858690099112</v>
      </c>
      <c r="O2187" s="357" t="s">
        <v>135</v>
      </c>
      <c r="P2187" s="343"/>
      <c r="Q2187" s="343"/>
      <c r="R2187" s="343">
        <v>8</v>
      </c>
    </row>
    <row r="2188" spans="1:18" ht="12.75">
      <c r="A2188" s="426" t="s">
        <v>3895</v>
      </c>
      <c r="B2188" s="427"/>
      <c r="C2188" s="427"/>
      <c r="D2188" s="427"/>
      <c r="E2188" s="427"/>
      <c r="F2188" s="427"/>
      <c r="G2188" s="427"/>
      <c r="H2188" s="427"/>
      <c r="I2188" s="427"/>
      <c r="J2188" s="427"/>
      <c r="K2188" s="427"/>
      <c r="L2188" s="427"/>
      <c r="M2188" s="427"/>
      <c r="N2188" s="427"/>
      <c r="O2188" s="427"/>
      <c r="P2188" s="427"/>
      <c r="Q2188" s="427"/>
      <c r="R2188" s="427"/>
    </row>
    <row r="2189" spans="1:18" ht="36">
      <c r="A2189" s="339">
        <v>65.14</v>
      </c>
      <c r="B2189" s="334" t="s">
        <v>3896</v>
      </c>
      <c r="C2189" s="340" t="s">
        <v>3897</v>
      </c>
      <c r="D2189" s="341">
        <v>3587.38</v>
      </c>
      <c r="E2189" s="341">
        <v>2955.9</v>
      </c>
      <c r="F2189" s="341">
        <v>81.64</v>
      </c>
      <c r="G2189" s="341">
        <v>549.84</v>
      </c>
      <c r="H2189" s="342">
        <v>41477.019999999997</v>
      </c>
      <c r="I2189" s="342">
        <v>38574.199999999997</v>
      </c>
      <c r="J2189" s="342">
        <v>619.72</v>
      </c>
      <c r="K2189" s="342">
        <v>2283.1</v>
      </c>
      <c r="L2189" s="357">
        <v>11.561925416320545</v>
      </c>
      <c r="M2189" s="357">
        <v>13.05</v>
      </c>
      <c r="N2189" s="357">
        <v>7.5908868201861832</v>
      </c>
      <c r="O2189" s="357">
        <v>4.152298850574712</v>
      </c>
      <c r="P2189" s="343"/>
      <c r="Q2189" s="343"/>
      <c r="R2189" s="343">
        <v>9</v>
      </c>
    </row>
    <row r="2190" spans="1:18" ht="36">
      <c r="A2190" s="339">
        <v>65.141000000000005</v>
      </c>
      <c r="B2190" s="334" t="s">
        <v>3898</v>
      </c>
      <c r="C2190" s="340" t="s">
        <v>3899</v>
      </c>
      <c r="D2190" s="341">
        <v>5062.92</v>
      </c>
      <c r="E2190" s="341">
        <v>4338.66</v>
      </c>
      <c r="F2190" s="341">
        <v>161.82</v>
      </c>
      <c r="G2190" s="341">
        <v>562.44000000000005</v>
      </c>
      <c r="H2190" s="342">
        <v>60227.72</v>
      </c>
      <c r="I2190" s="342">
        <v>56619.08</v>
      </c>
      <c r="J2190" s="342">
        <v>1228.32</v>
      </c>
      <c r="K2190" s="342">
        <v>2380.3200000000002</v>
      </c>
      <c r="L2190" s="357">
        <v>11.895846665560585</v>
      </c>
      <c r="M2190" s="357">
        <v>13.05</v>
      </c>
      <c r="N2190" s="357">
        <v>7.5906562847608452</v>
      </c>
      <c r="O2190" s="357">
        <v>4.2321314273522512</v>
      </c>
      <c r="P2190" s="343"/>
      <c r="Q2190" s="343"/>
      <c r="R2190" s="343">
        <v>9</v>
      </c>
    </row>
    <row r="2191" spans="1:18" ht="36">
      <c r="A2191" s="339">
        <v>65.141999999999996</v>
      </c>
      <c r="B2191" s="334" t="s">
        <v>3900</v>
      </c>
      <c r="C2191" s="340" t="s">
        <v>3901</v>
      </c>
      <c r="D2191" s="341">
        <v>6757.16</v>
      </c>
      <c r="E2191" s="341">
        <v>5931.84</v>
      </c>
      <c r="F2191" s="341">
        <v>249.31</v>
      </c>
      <c r="G2191" s="341">
        <v>576.01</v>
      </c>
      <c r="H2191" s="342">
        <v>81787.45</v>
      </c>
      <c r="I2191" s="342">
        <v>77409.919999999998</v>
      </c>
      <c r="J2191" s="342">
        <v>1892.5</v>
      </c>
      <c r="K2191" s="342">
        <v>2485.0300000000002</v>
      </c>
      <c r="L2191" s="357">
        <v>12.103820244007837</v>
      </c>
      <c r="M2191" s="357">
        <v>13.05</v>
      </c>
      <c r="N2191" s="357">
        <v>7.5909510248285264</v>
      </c>
      <c r="O2191" s="357">
        <v>4.3142132949080754</v>
      </c>
      <c r="P2191" s="343"/>
      <c r="Q2191" s="343"/>
      <c r="R2191" s="343">
        <v>9</v>
      </c>
    </row>
    <row r="2192" spans="1:18" ht="24">
      <c r="A2192" s="339">
        <v>65.143000000000001</v>
      </c>
      <c r="B2192" s="334" t="s">
        <v>3902</v>
      </c>
      <c r="C2192" s="340" t="s">
        <v>3903</v>
      </c>
      <c r="D2192" s="341">
        <v>1297.8399999999999</v>
      </c>
      <c r="E2192" s="341">
        <v>743.48</v>
      </c>
      <c r="F2192" s="341">
        <v>16.47</v>
      </c>
      <c r="G2192" s="341">
        <v>537.89</v>
      </c>
      <c r="H2192" s="342">
        <v>12018.31</v>
      </c>
      <c r="I2192" s="342">
        <v>9702.39</v>
      </c>
      <c r="J2192" s="342">
        <v>125.06</v>
      </c>
      <c r="K2192" s="342">
        <v>2190.86</v>
      </c>
      <c r="L2192" s="357">
        <v>9.2602400912285034</v>
      </c>
      <c r="M2192" s="357">
        <v>13.05</v>
      </c>
      <c r="N2192" s="357">
        <v>7.593199757134184</v>
      </c>
      <c r="O2192" s="357">
        <v>4.0730632657234755</v>
      </c>
      <c r="P2192" s="343"/>
      <c r="Q2192" s="343"/>
      <c r="R2192" s="343">
        <v>9</v>
      </c>
    </row>
    <row r="2193" spans="1:18" ht="12.75">
      <c r="A2193" s="426" t="s">
        <v>3904</v>
      </c>
      <c r="B2193" s="427"/>
      <c r="C2193" s="427"/>
      <c r="D2193" s="427"/>
      <c r="E2193" s="427"/>
      <c r="F2193" s="427"/>
      <c r="G2193" s="427"/>
      <c r="H2193" s="427"/>
      <c r="I2193" s="427"/>
      <c r="J2193" s="427"/>
      <c r="K2193" s="427"/>
      <c r="L2193" s="427"/>
      <c r="M2193" s="427"/>
      <c r="N2193" s="427"/>
      <c r="O2193" s="427"/>
      <c r="P2193" s="427"/>
      <c r="Q2193" s="427"/>
      <c r="R2193" s="427"/>
    </row>
    <row r="2194" spans="1:18" ht="24">
      <c r="A2194" s="339">
        <v>65.144000000000005</v>
      </c>
      <c r="B2194" s="334" t="s">
        <v>3905</v>
      </c>
      <c r="C2194" s="340" t="s">
        <v>3906</v>
      </c>
      <c r="D2194" s="341">
        <v>3067.55</v>
      </c>
      <c r="E2194" s="341">
        <v>2257.1999999999998</v>
      </c>
      <c r="F2194" s="341">
        <v>124.53</v>
      </c>
      <c r="G2194" s="341">
        <v>685.82</v>
      </c>
      <c r="H2194" s="342">
        <v>32968.78</v>
      </c>
      <c r="I2194" s="342">
        <v>29455.919999999998</v>
      </c>
      <c r="J2194" s="342">
        <v>711.52</v>
      </c>
      <c r="K2194" s="342">
        <v>2801.34</v>
      </c>
      <c r="L2194" s="357">
        <v>10.747593356261511</v>
      </c>
      <c r="M2194" s="357">
        <v>13.05</v>
      </c>
      <c r="N2194" s="357">
        <v>5.7136432988035013</v>
      </c>
      <c r="O2194" s="357">
        <v>4.0846577819252863</v>
      </c>
      <c r="P2194" s="343"/>
      <c r="Q2194" s="343"/>
      <c r="R2194" s="343">
        <v>10</v>
      </c>
    </row>
    <row r="2195" spans="1:18" ht="24">
      <c r="A2195" s="339">
        <v>65.144999999999996</v>
      </c>
      <c r="B2195" s="334" t="s">
        <v>3907</v>
      </c>
      <c r="C2195" s="340" t="s">
        <v>3908</v>
      </c>
      <c r="D2195" s="341">
        <v>3705</v>
      </c>
      <c r="E2195" s="341">
        <v>2894.65</v>
      </c>
      <c r="F2195" s="341">
        <v>124.53</v>
      </c>
      <c r="G2195" s="341">
        <v>685.82</v>
      </c>
      <c r="H2195" s="342">
        <v>41287.35</v>
      </c>
      <c r="I2195" s="342">
        <v>37774.49</v>
      </c>
      <c r="J2195" s="342">
        <v>711.52</v>
      </c>
      <c r="K2195" s="342">
        <v>2801.34</v>
      </c>
      <c r="L2195" s="357">
        <v>11.143684210526315</v>
      </c>
      <c r="M2195" s="357">
        <v>13.05</v>
      </c>
      <c r="N2195" s="357">
        <v>5.7136432988035013</v>
      </c>
      <c r="O2195" s="357">
        <v>4.0846577819252863</v>
      </c>
      <c r="P2195" s="343"/>
      <c r="Q2195" s="343"/>
      <c r="R2195" s="343">
        <v>10</v>
      </c>
    </row>
    <row r="2196" spans="1:18" ht="24">
      <c r="A2196" s="339">
        <v>65.146000000000001</v>
      </c>
      <c r="B2196" s="334" t="s">
        <v>3909</v>
      </c>
      <c r="C2196" s="340" t="s">
        <v>3910</v>
      </c>
      <c r="D2196" s="341">
        <v>2794.06</v>
      </c>
      <c r="E2196" s="341">
        <v>2048.1999999999998</v>
      </c>
      <c r="F2196" s="341">
        <v>60.04</v>
      </c>
      <c r="G2196" s="341">
        <v>685.82</v>
      </c>
      <c r="H2196" s="342">
        <v>29985.62</v>
      </c>
      <c r="I2196" s="342">
        <v>26728.52</v>
      </c>
      <c r="J2196" s="342">
        <v>455.76</v>
      </c>
      <c r="K2196" s="342">
        <v>2801.34</v>
      </c>
      <c r="L2196" s="357">
        <v>10.731916995340114</v>
      </c>
      <c r="M2196" s="357">
        <v>13.05</v>
      </c>
      <c r="N2196" s="357">
        <v>7.5909393737508326</v>
      </c>
      <c r="O2196" s="357">
        <v>4.0846577819252863</v>
      </c>
      <c r="P2196" s="343"/>
      <c r="Q2196" s="343"/>
      <c r="R2196" s="343">
        <v>10</v>
      </c>
    </row>
    <row r="2197" spans="1:18" ht="24">
      <c r="A2197" s="339">
        <v>65.147000000000006</v>
      </c>
      <c r="B2197" s="334" t="s">
        <v>3911</v>
      </c>
      <c r="C2197" s="340" t="s">
        <v>3912</v>
      </c>
      <c r="D2197" s="341">
        <v>3274.76</v>
      </c>
      <c r="E2197" s="341">
        <v>2528.9</v>
      </c>
      <c r="F2197" s="341">
        <v>60.04</v>
      </c>
      <c r="G2197" s="341">
        <v>685.82</v>
      </c>
      <c r="H2197" s="342">
        <v>36258.639999999999</v>
      </c>
      <c r="I2197" s="342">
        <v>33001.54</v>
      </c>
      <c r="J2197" s="342">
        <v>455.76</v>
      </c>
      <c r="K2197" s="342">
        <v>2801.34</v>
      </c>
      <c r="L2197" s="357">
        <v>11.072151852349485</v>
      </c>
      <c r="M2197" s="357">
        <v>13.05</v>
      </c>
      <c r="N2197" s="357">
        <v>7.5909393737508326</v>
      </c>
      <c r="O2197" s="357">
        <v>4.0846577819252863</v>
      </c>
      <c r="P2197" s="343"/>
      <c r="Q2197" s="343"/>
      <c r="R2197" s="343">
        <v>10</v>
      </c>
    </row>
    <row r="2198" spans="1:18" ht="24">
      <c r="A2198" s="339">
        <v>65.147999999999996</v>
      </c>
      <c r="B2198" s="334" t="s">
        <v>3913</v>
      </c>
      <c r="C2198" s="340" t="s">
        <v>3914</v>
      </c>
      <c r="D2198" s="341">
        <v>642.71</v>
      </c>
      <c r="E2198" s="341">
        <v>290.51</v>
      </c>
      <c r="F2198" s="341">
        <v>62.26</v>
      </c>
      <c r="G2198" s="341">
        <v>289.94</v>
      </c>
      <c r="H2198" s="342">
        <v>5349.81</v>
      </c>
      <c r="I2198" s="342">
        <v>3791.09</v>
      </c>
      <c r="J2198" s="342">
        <v>355.77</v>
      </c>
      <c r="K2198" s="342">
        <v>1202.95</v>
      </c>
      <c r="L2198" s="357">
        <v>8.3238318993013962</v>
      </c>
      <c r="M2198" s="357">
        <v>13.05</v>
      </c>
      <c r="N2198" s="357">
        <v>5.7142627690330867</v>
      </c>
      <c r="O2198" s="357">
        <v>4.1489618541767266</v>
      </c>
      <c r="P2198" s="343"/>
      <c r="Q2198" s="343"/>
      <c r="R2198" s="343">
        <v>10</v>
      </c>
    </row>
    <row r="2199" spans="1:18" ht="24">
      <c r="A2199" s="339">
        <v>65.149000000000001</v>
      </c>
      <c r="B2199" s="334" t="s">
        <v>3915</v>
      </c>
      <c r="C2199" s="340" t="s">
        <v>3916</v>
      </c>
      <c r="D2199" s="341">
        <v>732.58</v>
      </c>
      <c r="E2199" s="341">
        <v>380.38</v>
      </c>
      <c r="F2199" s="341">
        <v>62.26</v>
      </c>
      <c r="G2199" s="341">
        <v>289.94</v>
      </c>
      <c r="H2199" s="342">
        <v>6522.59</v>
      </c>
      <c r="I2199" s="342">
        <v>4963.87</v>
      </c>
      <c r="J2199" s="342">
        <v>355.77</v>
      </c>
      <c r="K2199" s="342">
        <v>1202.95</v>
      </c>
      <c r="L2199" s="357">
        <v>8.9035873215211989</v>
      </c>
      <c r="M2199" s="357">
        <v>13.05</v>
      </c>
      <c r="N2199" s="357">
        <v>5.7142627690330867</v>
      </c>
      <c r="O2199" s="357">
        <v>4.1489618541767266</v>
      </c>
      <c r="P2199" s="343"/>
      <c r="Q2199" s="343"/>
      <c r="R2199" s="343">
        <v>10</v>
      </c>
    </row>
    <row r="2200" spans="1:18" ht="24">
      <c r="A2200" s="339">
        <v>65.150000000000006</v>
      </c>
      <c r="B2200" s="334" t="s">
        <v>3917</v>
      </c>
      <c r="C2200" s="340" t="s">
        <v>3918</v>
      </c>
      <c r="D2200" s="341">
        <v>211.09</v>
      </c>
      <c r="E2200" s="341">
        <v>211.09</v>
      </c>
      <c r="F2200" s="341"/>
      <c r="G2200" s="341"/>
      <c r="H2200" s="342">
        <v>2754.67</v>
      </c>
      <c r="I2200" s="342">
        <v>2754.67</v>
      </c>
      <c r="J2200" s="342"/>
      <c r="K2200" s="342"/>
      <c r="L2200" s="357">
        <v>13.049741816286891</v>
      </c>
      <c r="M2200" s="357">
        <v>13.05</v>
      </c>
      <c r="N2200" s="357" t="s">
        <v>135</v>
      </c>
      <c r="O2200" s="357" t="s">
        <v>135</v>
      </c>
      <c r="P2200" s="343"/>
      <c r="Q2200" s="343"/>
      <c r="R2200" s="343">
        <v>10</v>
      </c>
    </row>
    <row r="2201" spans="1:18" ht="24">
      <c r="A2201" s="339">
        <v>65.150999999999996</v>
      </c>
      <c r="B2201" s="334" t="s">
        <v>3919</v>
      </c>
      <c r="C2201" s="340" t="s">
        <v>3920</v>
      </c>
      <c r="D2201" s="341">
        <v>282.14999999999998</v>
      </c>
      <c r="E2201" s="341">
        <v>282.14999999999998</v>
      </c>
      <c r="F2201" s="341"/>
      <c r="G2201" s="341"/>
      <c r="H2201" s="342">
        <v>3681.99</v>
      </c>
      <c r="I2201" s="342">
        <v>3681.99</v>
      </c>
      <c r="J2201" s="342"/>
      <c r="K2201" s="342"/>
      <c r="L2201" s="357">
        <v>13.049760765550239</v>
      </c>
      <c r="M2201" s="357">
        <v>13.05</v>
      </c>
      <c r="N2201" s="357" t="s">
        <v>135</v>
      </c>
      <c r="O2201" s="357" t="s">
        <v>135</v>
      </c>
      <c r="P2201" s="343"/>
      <c r="Q2201" s="343"/>
      <c r="R2201" s="343">
        <v>10</v>
      </c>
    </row>
    <row r="2202" spans="1:18" ht="12.75">
      <c r="A2202" s="426" t="s">
        <v>3921</v>
      </c>
      <c r="B2202" s="427"/>
      <c r="C2202" s="427"/>
      <c r="D2202" s="427"/>
      <c r="E2202" s="427"/>
      <c r="F2202" s="427"/>
      <c r="G2202" s="427"/>
      <c r="H2202" s="427"/>
      <c r="I2202" s="427"/>
      <c r="J2202" s="427"/>
      <c r="K2202" s="427"/>
      <c r="L2202" s="427"/>
      <c r="M2202" s="427"/>
      <c r="N2202" s="427"/>
      <c r="O2202" s="427"/>
      <c r="P2202" s="427"/>
      <c r="Q2202" s="427"/>
      <c r="R2202" s="427"/>
    </row>
    <row r="2203" spans="1:18" ht="24">
      <c r="A2203" s="339">
        <v>65.152000000000001</v>
      </c>
      <c r="B2203" s="334" t="s">
        <v>3922</v>
      </c>
      <c r="C2203" s="340" t="s">
        <v>3923</v>
      </c>
      <c r="D2203" s="341">
        <v>3559.15</v>
      </c>
      <c r="E2203" s="341">
        <v>3009.31</v>
      </c>
      <c r="F2203" s="341"/>
      <c r="G2203" s="341">
        <v>549.84</v>
      </c>
      <c r="H2203" s="342">
        <v>41555.79</v>
      </c>
      <c r="I2203" s="342">
        <v>39272.69</v>
      </c>
      <c r="J2203" s="342"/>
      <c r="K2203" s="342">
        <v>2283.1</v>
      </c>
      <c r="L2203" s="357">
        <v>11.675762471376594</v>
      </c>
      <c r="M2203" s="357">
        <v>13.05</v>
      </c>
      <c r="N2203" s="357" t="s">
        <v>135</v>
      </c>
      <c r="O2203" s="357">
        <v>4.152298850574712</v>
      </c>
      <c r="P2203" s="343"/>
      <c r="Q2203" s="343"/>
      <c r="R2203" s="343">
        <v>11</v>
      </c>
    </row>
    <row r="2204" spans="1:18" ht="24">
      <c r="A2204" s="339">
        <v>65.153000000000006</v>
      </c>
      <c r="B2204" s="334" t="s">
        <v>3924</v>
      </c>
      <c r="C2204" s="340" t="s">
        <v>3925</v>
      </c>
      <c r="D2204" s="341">
        <v>4686.3100000000004</v>
      </c>
      <c r="E2204" s="341">
        <v>4123.87</v>
      </c>
      <c r="F2204" s="341"/>
      <c r="G2204" s="341">
        <v>562.44000000000005</v>
      </c>
      <c r="H2204" s="342">
        <v>56198.45</v>
      </c>
      <c r="I2204" s="342">
        <v>53818.13</v>
      </c>
      <c r="J2204" s="342"/>
      <c r="K2204" s="342">
        <v>2380.3200000000002</v>
      </c>
      <c r="L2204" s="357">
        <v>11.992047047677168</v>
      </c>
      <c r="M2204" s="357">
        <v>13.05</v>
      </c>
      <c r="N2204" s="357" t="s">
        <v>135</v>
      </c>
      <c r="O2204" s="357">
        <v>4.2321314273522512</v>
      </c>
      <c r="P2204" s="343"/>
      <c r="Q2204" s="343"/>
      <c r="R2204" s="343">
        <v>11</v>
      </c>
    </row>
    <row r="2205" spans="1:18" ht="24">
      <c r="A2205" s="339">
        <v>65.153999999999996</v>
      </c>
      <c r="B2205" s="334" t="s">
        <v>3926</v>
      </c>
      <c r="C2205" s="340" t="s">
        <v>3927</v>
      </c>
      <c r="D2205" s="341">
        <v>6136.43</v>
      </c>
      <c r="E2205" s="341">
        <v>5560.42</v>
      </c>
      <c r="F2205" s="341"/>
      <c r="G2205" s="341">
        <v>576.01</v>
      </c>
      <c r="H2205" s="342">
        <v>75050.61</v>
      </c>
      <c r="I2205" s="342">
        <v>72565.58</v>
      </c>
      <c r="J2205" s="342"/>
      <c r="K2205" s="342">
        <v>2485.0300000000002</v>
      </c>
      <c r="L2205" s="357">
        <v>12.230337508942496</v>
      </c>
      <c r="M2205" s="357">
        <v>13.05</v>
      </c>
      <c r="N2205" s="357" t="s">
        <v>135</v>
      </c>
      <c r="O2205" s="357">
        <v>4.3142132949080754</v>
      </c>
      <c r="P2205" s="343"/>
      <c r="Q2205" s="343"/>
      <c r="R2205" s="343">
        <v>11</v>
      </c>
    </row>
    <row r="2206" spans="1:18" ht="24">
      <c r="A2206" s="339">
        <v>65.155000000000001</v>
      </c>
      <c r="B2206" s="334" t="s">
        <v>3928</v>
      </c>
      <c r="C2206" s="340" t="s">
        <v>3929</v>
      </c>
      <c r="D2206" s="341">
        <v>3602.47</v>
      </c>
      <c r="E2206" s="341">
        <v>2292.0700000000002</v>
      </c>
      <c r="F2206" s="341"/>
      <c r="G2206" s="341">
        <v>1310.4000000000001</v>
      </c>
      <c r="H2206" s="342">
        <v>33906.54</v>
      </c>
      <c r="I2206" s="342">
        <v>29912.43</v>
      </c>
      <c r="J2206" s="342"/>
      <c r="K2206" s="342">
        <v>3994.11</v>
      </c>
      <c r="L2206" s="357">
        <v>9.4120256379650638</v>
      </c>
      <c r="M2206" s="357">
        <v>13.05</v>
      </c>
      <c r="N2206" s="357" t="s">
        <v>135</v>
      </c>
      <c r="O2206" s="357">
        <v>3.0480082417582417</v>
      </c>
      <c r="P2206" s="343"/>
      <c r="Q2206" s="343"/>
      <c r="R2206" s="343">
        <v>11</v>
      </c>
    </row>
    <row r="2207" spans="1:18" ht="24">
      <c r="A2207" s="339">
        <v>65.156000000000006</v>
      </c>
      <c r="B2207" s="334" t="s">
        <v>3930</v>
      </c>
      <c r="C2207" s="340" t="s">
        <v>3931</v>
      </c>
      <c r="D2207" s="341">
        <v>4565.74</v>
      </c>
      <c r="E2207" s="341">
        <v>3832.85</v>
      </c>
      <c r="F2207" s="341">
        <v>183.05</v>
      </c>
      <c r="G2207" s="341">
        <v>549.84</v>
      </c>
      <c r="H2207" s="342">
        <v>53692.75</v>
      </c>
      <c r="I2207" s="342">
        <v>50020.15</v>
      </c>
      <c r="J2207" s="342">
        <v>1389.5</v>
      </c>
      <c r="K2207" s="342">
        <v>2283.1</v>
      </c>
      <c r="L2207" s="357">
        <v>11.759922816454726</v>
      </c>
      <c r="M2207" s="357">
        <v>13.05</v>
      </c>
      <c r="N2207" s="357">
        <v>7.5908221797323128</v>
      </c>
      <c r="O2207" s="357">
        <v>4.152298850574712</v>
      </c>
      <c r="P2207" s="343"/>
      <c r="Q2207" s="343"/>
      <c r="R2207" s="343">
        <v>11</v>
      </c>
    </row>
    <row r="2208" spans="1:18" ht="24">
      <c r="A2208" s="339">
        <v>65.156999999999996</v>
      </c>
      <c r="B2208" s="334" t="s">
        <v>3932</v>
      </c>
      <c r="C2208" s="340" t="s">
        <v>3933</v>
      </c>
      <c r="D2208" s="341">
        <v>6703.61</v>
      </c>
      <c r="E2208" s="341">
        <v>5775.07</v>
      </c>
      <c r="F2208" s="341">
        <v>366.1</v>
      </c>
      <c r="G2208" s="341">
        <v>562.44000000000005</v>
      </c>
      <c r="H2208" s="342">
        <v>80526.25</v>
      </c>
      <c r="I2208" s="342">
        <v>75366.929999999993</v>
      </c>
      <c r="J2208" s="342">
        <v>2779</v>
      </c>
      <c r="K2208" s="342">
        <v>2380.3200000000002</v>
      </c>
      <c r="L2208" s="357">
        <v>12.012370946400521</v>
      </c>
      <c r="M2208" s="357">
        <v>13.05</v>
      </c>
      <c r="N2208" s="357">
        <v>7.5908221797323128</v>
      </c>
      <c r="O2208" s="357">
        <v>4.2321314273522512</v>
      </c>
      <c r="P2208" s="343"/>
      <c r="Q2208" s="343"/>
      <c r="R2208" s="343">
        <v>11</v>
      </c>
    </row>
    <row r="2209" spans="1:18" ht="24">
      <c r="A2209" s="339">
        <v>65.158000000000001</v>
      </c>
      <c r="B2209" s="334" t="s">
        <v>3934</v>
      </c>
      <c r="C2209" s="340" t="s">
        <v>3935</v>
      </c>
      <c r="D2209" s="341">
        <v>9152.06</v>
      </c>
      <c r="E2209" s="341">
        <v>8026.9</v>
      </c>
      <c r="F2209" s="341">
        <v>549.15</v>
      </c>
      <c r="G2209" s="341">
        <v>576.01</v>
      </c>
      <c r="H2209" s="342">
        <v>111407.63</v>
      </c>
      <c r="I2209" s="342">
        <v>104754.1</v>
      </c>
      <c r="J2209" s="342">
        <v>4168.5</v>
      </c>
      <c r="K2209" s="342">
        <v>2485.0300000000002</v>
      </c>
      <c r="L2209" s="357">
        <v>12.172956689532194</v>
      </c>
      <c r="M2209" s="357">
        <v>13.05</v>
      </c>
      <c r="N2209" s="357">
        <v>7.5908221797323137</v>
      </c>
      <c r="O2209" s="357">
        <v>4.3142132949080754</v>
      </c>
      <c r="P2209" s="343"/>
      <c r="Q2209" s="343"/>
      <c r="R2209" s="343">
        <v>11</v>
      </c>
    </row>
    <row r="2210" spans="1:18" ht="24">
      <c r="A2210" s="339">
        <v>65.159000000000006</v>
      </c>
      <c r="B2210" s="334" t="s">
        <v>3936</v>
      </c>
      <c r="C2210" s="340" t="s">
        <v>3937</v>
      </c>
      <c r="D2210" s="341">
        <v>4773.4399999999996</v>
      </c>
      <c r="E2210" s="341">
        <v>2852.45</v>
      </c>
      <c r="F2210" s="341">
        <v>117.15</v>
      </c>
      <c r="G2210" s="341">
        <v>1803.84</v>
      </c>
      <c r="H2210" s="342">
        <v>43362.47</v>
      </c>
      <c r="I2210" s="342">
        <v>37225.550000000003</v>
      </c>
      <c r="J2210" s="342">
        <v>889.28</v>
      </c>
      <c r="K2210" s="342">
        <v>5247.64</v>
      </c>
      <c r="L2210" s="357">
        <v>9.0841133438358934</v>
      </c>
      <c r="M2210" s="357">
        <v>13.05</v>
      </c>
      <c r="N2210" s="357">
        <v>7.5909517712334607</v>
      </c>
      <c r="O2210" s="357">
        <v>2.9091493702323934</v>
      </c>
      <c r="P2210" s="343"/>
      <c r="Q2210" s="343"/>
      <c r="R2210" s="343">
        <v>11</v>
      </c>
    </row>
    <row r="2211" spans="1:18" ht="12.75">
      <c r="A2211" s="426" t="s">
        <v>3938</v>
      </c>
      <c r="B2211" s="427"/>
      <c r="C2211" s="427"/>
      <c r="D2211" s="427"/>
      <c r="E2211" s="427"/>
      <c r="F2211" s="427"/>
      <c r="G2211" s="427"/>
      <c r="H2211" s="427"/>
      <c r="I2211" s="427"/>
      <c r="J2211" s="427"/>
      <c r="K2211" s="427"/>
      <c r="L2211" s="427"/>
      <c r="M2211" s="427"/>
      <c r="N2211" s="427"/>
      <c r="O2211" s="427"/>
      <c r="P2211" s="427"/>
      <c r="Q2211" s="427"/>
      <c r="R2211" s="427"/>
    </row>
    <row r="2212" spans="1:18" ht="24">
      <c r="A2212" s="339">
        <v>65.16</v>
      </c>
      <c r="B2212" s="334" t="s">
        <v>3939</v>
      </c>
      <c r="C2212" s="340" t="s">
        <v>3940</v>
      </c>
      <c r="D2212" s="341">
        <v>3.74</v>
      </c>
      <c r="E2212" s="341">
        <v>3.74</v>
      </c>
      <c r="F2212" s="341"/>
      <c r="G2212" s="341"/>
      <c r="H2212" s="342">
        <v>48.74</v>
      </c>
      <c r="I2212" s="342">
        <v>48.74</v>
      </c>
      <c r="J2212" s="342"/>
      <c r="K2212" s="342"/>
      <c r="L2212" s="357">
        <v>13.032085561497325</v>
      </c>
      <c r="M2212" s="357">
        <v>13.05</v>
      </c>
      <c r="N2212" s="357" t="s">
        <v>135</v>
      </c>
      <c r="O2212" s="357" t="s">
        <v>135</v>
      </c>
      <c r="P2212" s="343"/>
      <c r="Q2212" s="343"/>
      <c r="R2212" s="343">
        <v>12</v>
      </c>
    </row>
    <row r="2213" spans="1:18" ht="24">
      <c r="A2213" s="339">
        <v>65.161000000000001</v>
      </c>
      <c r="B2213" s="334" t="s">
        <v>3941</v>
      </c>
      <c r="C2213" s="340" t="s">
        <v>3942</v>
      </c>
      <c r="D2213" s="341">
        <v>12.94</v>
      </c>
      <c r="E2213" s="341">
        <v>12.94</v>
      </c>
      <c r="F2213" s="341"/>
      <c r="G2213" s="341"/>
      <c r="H2213" s="342">
        <v>168.88</v>
      </c>
      <c r="I2213" s="342">
        <v>168.88</v>
      </c>
      <c r="J2213" s="342"/>
      <c r="K2213" s="342"/>
      <c r="L2213" s="357">
        <v>13.051004636785162</v>
      </c>
      <c r="M2213" s="357">
        <v>13.05</v>
      </c>
      <c r="N2213" s="357" t="s">
        <v>135</v>
      </c>
      <c r="O2213" s="357" t="s">
        <v>135</v>
      </c>
      <c r="P2213" s="343"/>
      <c r="Q2213" s="343"/>
      <c r="R2213" s="343">
        <v>12</v>
      </c>
    </row>
    <row r="2214" spans="1:18">
      <c r="A2214" s="339">
        <v>65.162000000000006</v>
      </c>
      <c r="B2214" s="334" t="s">
        <v>3943</v>
      </c>
      <c r="C2214" s="340" t="s">
        <v>3944</v>
      </c>
      <c r="D2214" s="341">
        <v>1.91</v>
      </c>
      <c r="E2214" s="341">
        <v>1.91</v>
      </c>
      <c r="F2214" s="341"/>
      <c r="G2214" s="341"/>
      <c r="H2214" s="342">
        <v>24.97</v>
      </c>
      <c r="I2214" s="342">
        <v>24.97</v>
      </c>
      <c r="J2214" s="342"/>
      <c r="K2214" s="342"/>
      <c r="L2214" s="357">
        <v>13.073298429319372</v>
      </c>
      <c r="M2214" s="357">
        <v>13.05</v>
      </c>
      <c r="N2214" s="357" t="s">
        <v>135</v>
      </c>
      <c r="O2214" s="357" t="s">
        <v>135</v>
      </c>
      <c r="P2214" s="343"/>
      <c r="Q2214" s="343"/>
      <c r="R2214" s="343">
        <v>12</v>
      </c>
    </row>
    <row r="2215" spans="1:18" ht="24">
      <c r="A2215" s="339">
        <v>65.162999999999997</v>
      </c>
      <c r="B2215" s="334" t="s">
        <v>3945</v>
      </c>
      <c r="C2215" s="340" t="s">
        <v>3946</v>
      </c>
      <c r="D2215" s="341">
        <v>241.5</v>
      </c>
      <c r="E2215" s="341">
        <v>241.5</v>
      </c>
      <c r="F2215" s="341"/>
      <c r="G2215" s="341"/>
      <c r="H2215" s="342">
        <v>3151.63</v>
      </c>
      <c r="I2215" s="342">
        <v>3151.63</v>
      </c>
      <c r="J2215" s="342"/>
      <c r="K2215" s="342"/>
      <c r="L2215" s="357">
        <v>13.050227743271222</v>
      </c>
      <c r="M2215" s="357">
        <v>13.05</v>
      </c>
      <c r="N2215" s="357" t="s">
        <v>135</v>
      </c>
      <c r="O2215" s="357" t="s">
        <v>135</v>
      </c>
      <c r="P2215" s="343"/>
      <c r="Q2215" s="343"/>
      <c r="R2215" s="343">
        <v>12</v>
      </c>
    </row>
    <row r="2216" spans="1:18" ht="12.75">
      <c r="A2216" s="426" t="s">
        <v>3947</v>
      </c>
      <c r="B2216" s="427"/>
      <c r="C2216" s="427"/>
      <c r="D2216" s="427"/>
      <c r="E2216" s="427"/>
      <c r="F2216" s="427"/>
      <c r="G2216" s="427"/>
      <c r="H2216" s="427"/>
      <c r="I2216" s="427"/>
      <c r="J2216" s="427"/>
      <c r="K2216" s="427"/>
      <c r="L2216" s="427"/>
      <c r="M2216" s="427"/>
      <c r="N2216" s="427"/>
      <c r="O2216" s="427"/>
      <c r="P2216" s="427"/>
      <c r="Q2216" s="427"/>
      <c r="R2216" s="427"/>
    </row>
    <row r="2217" spans="1:18" ht="24">
      <c r="A2217" s="339">
        <v>65.164000000000001</v>
      </c>
      <c r="B2217" s="334" t="s">
        <v>3948</v>
      </c>
      <c r="C2217" s="340" t="s">
        <v>3947</v>
      </c>
      <c r="D2217" s="341">
        <v>160.29</v>
      </c>
      <c r="E2217" s="341">
        <v>160.29</v>
      </c>
      <c r="F2217" s="341"/>
      <c r="G2217" s="341"/>
      <c r="H2217" s="342">
        <v>2091.7800000000002</v>
      </c>
      <c r="I2217" s="342">
        <v>2091.7800000000002</v>
      </c>
      <c r="J2217" s="342"/>
      <c r="K2217" s="342"/>
      <c r="L2217" s="357">
        <v>13.049971925884337</v>
      </c>
      <c r="M2217" s="357">
        <v>13.05</v>
      </c>
      <c r="N2217" s="357" t="s">
        <v>135</v>
      </c>
      <c r="O2217" s="357" t="s">
        <v>135</v>
      </c>
      <c r="P2217" s="343"/>
      <c r="Q2217" s="343"/>
      <c r="R2217" s="343">
        <v>13</v>
      </c>
    </row>
    <row r="2218" spans="1:18" ht="12.75">
      <c r="A2218" s="426" t="s">
        <v>3949</v>
      </c>
      <c r="B2218" s="427"/>
      <c r="C2218" s="427"/>
      <c r="D2218" s="427"/>
      <c r="E2218" s="427"/>
      <c r="F2218" s="427"/>
      <c r="G2218" s="427"/>
      <c r="H2218" s="427"/>
      <c r="I2218" s="427"/>
      <c r="J2218" s="427"/>
      <c r="K2218" s="427"/>
      <c r="L2218" s="427"/>
      <c r="M2218" s="427"/>
      <c r="N2218" s="427"/>
      <c r="O2218" s="427"/>
      <c r="P2218" s="427"/>
      <c r="Q2218" s="427"/>
      <c r="R2218" s="427"/>
    </row>
    <row r="2219" spans="1:18">
      <c r="A2219" s="339">
        <v>65.165000000000006</v>
      </c>
      <c r="B2219" s="334" t="s">
        <v>3950</v>
      </c>
      <c r="C2219" s="340" t="s">
        <v>3951</v>
      </c>
      <c r="D2219" s="341">
        <v>576.02</v>
      </c>
      <c r="E2219" s="341">
        <v>238.45</v>
      </c>
      <c r="F2219" s="341"/>
      <c r="G2219" s="341">
        <v>337.57</v>
      </c>
      <c r="H2219" s="342">
        <v>4361.82</v>
      </c>
      <c r="I2219" s="342">
        <v>3111.73</v>
      </c>
      <c r="J2219" s="342"/>
      <c r="K2219" s="342">
        <v>1250.0899999999999</v>
      </c>
      <c r="L2219" s="357">
        <v>7.572341238151453</v>
      </c>
      <c r="M2219" s="357">
        <v>13.05</v>
      </c>
      <c r="N2219" s="357" t="s">
        <v>135</v>
      </c>
      <c r="O2219" s="357">
        <v>3.7032022987824744</v>
      </c>
      <c r="P2219" s="343"/>
      <c r="Q2219" s="343"/>
      <c r="R2219" s="343">
        <v>14</v>
      </c>
    </row>
    <row r="2220" spans="1:18">
      <c r="A2220" s="339">
        <v>65.165999999999997</v>
      </c>
      <c r="B2220" s="334" t="s">
        <v>3952</v>
      </c>
      <c r="C2220" s="340" t="s">
        <v>3953</v>
      </c>
      <c r="D2220" s="341">
        <v>3419.48</v>
      </c>
      <c r="E2220" s="341">
        <v>425.94</v>
      </c>
      <c r="F2220" s="341"/>
      <c r="G2220" s="341">
        <v>2993.54</v>
      </c>
      <c r="H2220" s="342">
        <v>12590.87</v>
      </c>
      <c r="I2220" s="342">
        <v>5558.56</v>
      </c>
      <c r="J2220" s="342"/>
      <c r="K2220" s="342">
        <v>7032.31</v>
      </c>
      <c r="L2220" s="357">
        <v>3.6821007872542024</v>
      </c>
      <c r="M2220" s="357">
        <v>13.05</v>
      </c>
      <c r="N2220" s="357" t="s">
        <v>135</v>
      </c>
      <c r="O2220" s="357">
        <v>2.3491618618759063</v>
      </c>
      <c r="P2220" s="343"/>
      <c r="Q2220" s="343"/>
      <c r="R2220" s="343">
        <v>14</v>
      </c>
    </row>
    <row r="2221" spans="1:18">
      <c r="A2221" s="339">
        <v>65.167000000000002</v>
      </c>
      <c r="B2221" s="334" t="s">
        <v>3954</v>
      </c>
      <c r="C2221" s="340" t="s">
        <v>3955</v>
      </c>
      <c r="D2221" s="341">
        <v>1228.77</v>
      </c>
      <c r="E2221" s="341">
        <v>1027.1500000000001</v>
      </c>
      <c r="F2221" s="341"/>
      <c r="G2221" s="341">
        <v>201.62</v>
      </c>
      <c r="H2221" s="342">
        <v>14197.03</v>
      </c>
      <c r="I2221" s="342">
        <v>13404.38</v>
      </c>
      <c r="J2221" s="342"/>
      <c r="K2221" s="342">
        <v>792.65</v>
      </c>
      <c r="L2221" s="357">
        <v>11.553854667675807</v>
      </c>
      <c r="M2221" s="357">
        <v>13.05</v>
      </c>
      <c r="N2221" s="357" t="s">
        <v>135</v>
      </c>
      <c r="O2221" s="357">
        <v>3.9314056145223688</v>
      </c>
      <c r="P2221" s="343"/>
      <c r="Q2221" s="343"/>
      <c r="R2221" s="343">
        <v>14</v>
      </c>
    </row>
    <row r="2222" spans="1:18" ht="12.75">
      <c r="A2222" s="426" t="s">
        <v>3956</v>
      </c>
      <c r="B2222" s="427"/>
      <c r="C2222" s="427"/>
      <c r="D2222" s="427"/>
      <c r="E2222" s="427"/>
      <c r="F2222" s="427"/>
      <c r="G2222" s="427"/>
      <c r="H2222" s="427"/>
      <c r="I2222" s="427"/>
      <c r="J2222" s="427"/>
      <c r="K2222" s="427"/>
      <c r="L2222" s="427"/>
      <c r="M2222" s="427"/>
      <c r="N2222" s="427"/>
      <c r="O2222" s="427"/>
      <c r="P2222" s="427"/>
      <c r="Q2222" s="427"/>
      <c r="R2222" s="427"/>
    </row>
    <row r="2223" spans="1:18" ht="24">
      <c r="A2223" s="339">
        <v>65.168000000000006</v>
      </c>
      <c r="B2223" s="334" t="s">
        <v>3957</v>
      </c>
      <c r="C2223" s="340" t="s">
        <v>3958</v>
      </c>
      <c r="D2223" s="341">
        <v>7008.19</v>
      </c>
      <c r="E2223" s="341">
        <v>7008.19</v>
      </c>
      <c r="F2223" s="341"/>
      <c r="G2223" s="341"/>
      <c r="H2223" s="342">
        <v>91457.57</v>
      </c>
      <c r="I2223" s="342">
        <v>91457.57</v>
      </c>
      <c r="J2223" s="342"/>
      <c r="K2223" s="342"/>
      <c r="L2223" s="357">
        <v>13.050098527579877</v>
      </c>
      <c r="M2223" s="357">
        <v>13.05</v>
      </c>
      <c r="N2223" s="357" t="s">
        <v>135</v>
      </c>
      <c r="O2223" s="357" t="s">
        <v>135</v>
      </c>
      <c r="P2223" s="343"/>
      <c r="Q2223" s="343"/>
      <c r="R2223" s="343">
        <v>15</v>
      </c>
    </row>
    <row r="2224" spans="1:18" ht="24">
      <c r="A2224" s="339">
        <v>65.168999999999997</v>
      </c>
      <c r="B2224" s="334" t="s">
        <v>3959</v>
      </c>
      <c r="C2224" s="340" t="s">
        <v>3960</v>
      </c>
      <c r="D2224" s="341">
        <v>7751.97</v>
      </c>
      <c r="E2224" s="341">
        <v>7751.97</v>
      </c>
      <c r="F2224" s="341"/>
      <c r="G2224" s="341"/>
      <c r="H2224" s="342">
        <v>101163.89</v>
      </c>
      <c r="I2224" s="342">
        <v>101163.89</v>
      </c>
      <c r="J2224" s="342"/>
      <c r="K2224" s="342"/>
      <c r="L2224" s="357">
        <v>13.050087913136919</v>
      </c>
      <c r="M2224" s="357">
        <v>13.05</v>
      </c>
      <c r="N2224" s="357" t="s">
        <v>135</v>
      </c>
      <c r="O2224" s="357" t="s">
        <v>135</v>
      </c>
      <c r="P2224" s="343"/>
      <c r="Q2224" s="343"/>
      <c r="R2224" s="343">
        <v>15</v>
      </c>
    </row>
    <row r="2225" spans="1:18" ht="24">
      <c r="A2225" s="339">
        <v>65.17</v>
      </c>
      <c r="B2225" s="334" t="s">
        <v>3961</v>
      </c>
      <c r="C2225" s="340" t="s">
        <v>3962</v>
      </c>
      <c r="D2225" s="341">
        <v>10138.81</v>
      </c>
      <c r="E2225" s="341">
        <v>10138.81</v>
      </c>
      <c r="F2225" s="341"/>
      <c r="G2225" s="341"/>
      <c r="H2225" s="342">
        <v>132312.48000000001</v>
      </c>
      <c r="I2225" s="342">
        <v>132312.48000000001</v>
      </c>
      <c r="J2225" s="342"/>
      <c r="K2225" s="342"/>
      <c r="L2225" s="357">
        <v>13.050099567898009</v>
      </c>
      <c r="M2225" s="357">
        <v>13.05</v>
      </c>
      <c r="N2225" s="357" t="s">
        <v>135</v>
      </c>
      <c r="O2225" s="357" t="s">
        <v>135</v>
      </c>
      <c r="P2225" s="343"/>
      <c r="Q2225" s="343"/>
      <c r="R2225" s="343">
        <v>15</v>
      </c>
    </row>
    <row r="2226" spans="1:18" ht="12.75">
      <c r="A2226" s="426" t="s">
        <v>3963</v>
      </c>
      <c r="B2226" s="427"/>
      <c r="C2226" s="427"/>
      <c r="D2226" s="427"/>
      <c r="E2226" s="427"/>
      <c r="F2226" s="427"/>
      <c r="G2226" s="427"/>
      <c r="H2226" s="427"/>
      <c r="I2226" s="427"/>
      <c r="J2226" s="427"/>
      <c r="K2226" s="427"/>
      <c r="L2226" s="427"/>
      <c r="M2226" s="427"/>
      <c r="N2226" s="427"/>
      <c r="O2226" s="427"/>
      <c r="P2226" s="427"/>
      <c r="Q2226" s="427"/>
      <c r="R2226" s="427"/>
    </row>
    <row r="2227" spans="1:18">
      <c r="A2227" s="339">
        <v>65.171000000000006</v>
      </c>
      <c r="B2227" s="334" t="s">
        <v>3964</v>
      </c>
      <c r="C2227" s="340" t="s">
        <v>3965</v>
      </c>
      <c r="D2227" s="341">
        <v>1028.3800000000001</v>
      </c>
      <c r="E2227" s="341">
        <v>1028.3800000000001</v>
      </c>
      <c r="F2227" s="341"/>
      <c r="G2227" s="341"/>
      <c r="H2227" s="342">
        <v>13420.4</v>
      </c>
      <c r="I2227" s="342">
        <v>13420.4</v>
      </c>
      <c r="J2227" s="342"/>
      <c r="K2227" s="342"/>
      <c r="L2227" s="357">
        <v>13.050039868531085</v>
      </c>
      <c r="M2227" s="357">
        <v>13.05</v>
      </c>
      <c r="N2227" s="357" t="s">
        <v>135</v>
      </c>
      <c r="O2227" s="357" t="s">
        <v>135</v>
      </c>
      <c r="P2227" s="343"/>
      <c r="Q2227" s="343"/>
      <c r="R2227" s="343">
        <v>16</v>
      </c>
    </row>
    <row r="2228" spans="1:18">
      <c r="A2228" s="339">
        <v>65.171999999999997</v>
      </c>
      <c r="B2228" s="334" t="s">
        <v>3966</v>
      </c>
      <c r="C2228" s="340" t="s">
        <v>3967</v>
      </c>
      <c r="D2228" s="341">
        <v>1358.47</v>
      </c>
      <c r="E2228" s="341">
        <v>1358.47</v>
      </c>
      <c r="F2228" s="341"/>
      <c r="G2228" s="341"/>
      <c r="H2228" s="342">
        <v>17728.189999999999</v>
      </c>
      <c r="I2228" s="342">
        <v>17728.189999999999</v>
      </c>
      <c r="J2228" s="342"/>
      <c r="K2228" s="342"/>
      <c r="L2228" s="357">
        <v>13.050115203132934</v>
      </c>
      <c r="M2228" s="357">
        <v>13.05</v>
      </c>
      <c r="N2228" s="357" t="s">
        <v>135</v>
      </c>
      <c r="O2228" s="357" t="s">
        <v>135</v>
      </c>
      <c r="P2228" s="343"/>
      <c r="Q2228" s="343"/>
      <c r="R2228" s="343">
        <v>16</v>
      </c>
    </row>
    <row r="2229" spans="1:18">
      <c r="A2229" s="339">
        <v>65.173000000000002</v>
      </c>
      <c r="B2229" s="334" t="s">
        <v>3968</v>
      </c>
      <c r="C2229" s="340" t="s">
        <v>3969</v>
      </c>
      <c r="D2229" s="341">
        <v>9653.19</v>
      </c>
      <c r="E2229" s="341">
        <v>9653.19</v>
      </c>
      <c r="F2229" s="341"/>
      <c r="G2229" s="341"/>
      <c r="H2229" s="342">
        <v>125975.07</v>
      </c>
      <c r="I2229" s="342">
        <v>125975.07</v>
      </c>
      <c r="J2229" s="342"/>
      <c r="K2229" s="342"/>
      <c r="L2229" s="357">
        <v>13.050097428932819</v>
      </c>
      <c r="M2229" s="357">
        <v>13.05</v>
      </c>
      <c r="N2229" s="357" t="s">
        <v>135</v>
      </c>
      <c r="O2229" s="357" t="s">
        <v>135</v>
      </c>
      <c r="P2229" s="343"/>
      <c r="Q2229" s="343"/>
      <c r="R2229" s="343">
        <v>16</v>
      </c>
    </row>
    <row r="2230" spans="1:18">
      <c r="A2230" s="339">
        <v>65.174000000000007</v>
      </c>
      <c r="B2230" s="334" t="s">
        <v>3970</v>
      </c>
      <c r="C2230" s="340" t="s">
        <v>3971</v>
      </c>
      <c r="D2230" s="341">
        <v>11682.44</v>
      </c>
      <c r="E2230" s="341">
        <v>11682.44</v>
      </c>
      <c r="F2230" s="341"/>
      <c r="G2230" s="341"/>
      <c r="H2230" s="342">
        <v>152456.89000000001</v>
      </c>
      <c r="I2230" s="342">
        <v>152456.89000000001</v>
      </c>
      <c r="J2230" s="342"/>
      <c r="K2230" s="342"/>
      <c r="L2230" s="357">
        <v>13.050089707287176</v>
      </c>
      <c r="M2230" s="357">
        <v>13.05</v>
      </c>
      <c r="N2230" s="357" t="s">
        <v>135</v>
      </c>
      <c r="O2230" s="357" t="s">
        <v>135</v>
      </c>
      <c r="P2230" s="343"/>
      <c r="Q2230" s="343"/>
      <c r="R2230" s="343">
        <v>16</v>
      </c>
    </row>
    <row r="2231" spans="1:18" ht="12.75">
      <c r="A2231" s="426" t="s">
        <v>3972</v>
      </c>
      <c r="B2231" s="427"/>
      <c r="C2231" s="427"/>
      <c r="D2231" s="427"/>
      <c r="E2231" s="427"/>
      <c r="F2231" s="427"/>
      <c r="G2231" s="427"/>
      <c r="H2231" s="427"/>
      <c r="I2231" s="427"/>
      <c r="J2231" s="427"/>
      <c r="K2231" s="427"/>
      <c r="L2231" s="427"/>
      <c r="M2231" s="427"/>
      <c r="N2231" s="427"/>
      <c r="O2231" s="427"/>
      <c r="P2231" s="427"/>
      <c r="Q2231" s="427"/>
      <c r="R2231" s="427"/>
    </row>
    <row r="2232" spans="1:18" ht="36">
      <c r="A2232" s="344">
        <v>65.174999999999997</v>
      </c>
      <c r="B2232" s="345" t="s">
        <v>3973</v>
      </c>
      <c r="C2232" s="346" t="s">
        <v>3974</v>
      </c>
      <c r="D2232" s="347">
        <v>91.95</v>
      </c>
      <c r="E2232" s="347">
        <v>50.1</v>
      </c>
      <c r="F2232" s="347">
        <v>35.33</v>
      </c>
      <c r="G2232" s="347">
        <v>6.52</v>
      </c>
      <c r="H2232" s="348">
        <v>913.35</v>
      </c>
      <c r="I2232" s="348">
        <v>653.78</v>
      </c>
      <c r="J2232" s="348">
        <v>232.59</v>
      </c>
      <c r="K2232" s="348">
        <v>26.98</v>
      </c>
      <c r="L2232" s="356">
        <v>9.9331158238172925</v>
      </c>
      <c r="M2232" s="356">
        <v>13.05</v>
      </c>
      <c r="N2232" s="356">
        <v>6.5833569204641949</v>
      </c>
      <c r="O2232" s="356">
        <v>4.1380368098159517</v>
      </c>
      <c r="P2232" s="349"/>
      <c r="Q2232" s="349"/>
      <c r="R2232" s="349">
        <v>17</v>
      </c>
    </row>
    <row r="2233" spans="1:18" ht="12.75">
      <c r="A2233" s="428" t="s">
        <v>2311</v>
      </c>
      <c r="B2233" s="429"/>
      <c r="C2233" s="429"/>
      <c r="D2233" s="429"/>
      <c r="E2233" s="429"/>
      <c r="F2233" s="429"/>
      <c r="G2233" s="429"/>
      <c r="H2233" s="429"/>
      <c r="I2233" s="429"/>
      <c r="J2233" s="429"/>
      <c r="K2233" s="429"/>
      <c r="L2233" s="429"/>
      <c r="M2233" s="429"/>
      <c r="N2233" s="429"/>
      <c r="O2233" s="429"/>
      <c r="P2233" s="429"/>
      <c r="Q2233" s="429"/>
      <c r="R2233" s="429"/>
    </row>
    <row r="2234" spans="1:18" ht="12.75">
      <c r="A2234" s="426" t="s">
        <v>3975</v>
      </c>
      <c r="B2234" s="427"/>
      <c r="C2234" s="427"/>
      <c r="D2234" s="427"/>
      <c r="E2234" s="427"/>
      <c r="F2234" s="427"/>
      <c r="G2234" s="427"/>
      <c r="H2234" s="427"/>
      <c r="I2234" s="427"/>
      <c r="J2234" s="427"/>
      <c r="K2234" s="427"/>
      <c r="L2234" s="427"/>
      <c r="M2234" s="427"/>
      <c r="N2234" s="427"/>
      <c r="O2234" s="427"/>
      <c r="P2234" s="427"/>
      <c r="Q2234" s="427"/>
      <c r="R2234" s="427"/>
    </row>
    <row r="2235" spans="1:18" ht="24">
      <c r="A2235" s="339">
        <v>65.176000000000002</v>
      </c>
      <c r="B2235" s="334" t="s">
        <v>3976</v>
      </c>
      <c r="C2235" s="340" t="s">
        <v>3977</v>
      </c>
      <c r="D2235" s="341">
        <v>751.48</v>
      </c>
      <c r="E2235" s="341">
        <v>647.41</v>
      </c>
      <c r="F2235" s="341">
        <v>104.07</v>
      </c>
      <c r="G2235" s="341"/>
      <c r="H2235" s="342">
        <v>9269.89</v>
      </c>
      <c r="I2235" s="342">
        <v>8449.02</v>
      </c>
      <c r="J2235" s="342">
        <v>820.87</v>
      </c>
      <c r="K2235" s="342"/>
      <c r="L2235" s="357">
        <v>12.335511257784637</v>
      </c>
      <c r="M2235" s="357">
        <v>13.05</v>
      </c>
      <c r="N2235" s="357">
        <v>7.8876717593927168</v>
      </c>
      <c r="O2235" s="357" t="s">
        <v>135</v>
      </c>
      <c r="P2235" s="343"/>
      <c r="Q2235" s="343"/>
      <c r="R2235" s="343">
        <v>1</v>
      </c>
    </row>
    <row r="2236" spans="1:18" ht="24">
      <c r="A2236" s="339">
        <v>65.177000000000007</v>
      </c>
      <c r="B2236" s="334" t="s">
        <v>3978</v>
      </c>
      <c r="C2236" s="340" t="s">
        <v>3979</v>
      </c>
      <c r="D2236" s="341">
        <v>1168.5899999999999</v>
      </c>
      <c r="E2236" s="341">
        <v>996.87</v>
      </c>
      <c r="F2236" s="341">
        <v>171.72</v>
      </c>
      <c r="G2236" s="341"/>
      <c r="H2236" s="342">
        <v>14364.08</v>
      </c>
      <c r="I2236" s="342">
        <v>13009.65</v>
      </c>
      <c r="J2236" s="342">
        <v>1354.43</v>
      </c>
      <c r="K2236" s="342"/>
      <c r="L2236" s="357">
        <v>12.291804653471278</v>
      </c>
      <c r="M2236" s="357">
        <v>13.05</v>
      </c>
      <c r="N2236" s="357">
        <v>7.8874330305147922</v>
      </c>
      <c r="O2236" s="357" t="s">
        <v>135</v>
      </c>
      <c r="P2236" s="343"/>
      <c r="Q2236" s="343"/>
      <c r="R2236" s="343">
        <v>1</v>
      </c>
    </row>
    <row r="2237" spans="1:18" ht="12.75">
      <c r="A2237" s="426" t="s">
        <v>3980</v>
      </c>
      <c r="B2237" s="427"/>
      <c r="C2237" s="427"/>
      <c r="D2237" s="427"/>
      <c r="E2237" s="427"/>
      <c r="F2237" s="427"/>
      <c r="G2237" s="427"/>
      <c r="H2237" s="427"/>
      <c r="I2237" s="427"/>
      <c r="J2237" s="427"/>
      <c r="K2237" s="427"/>
      <c r="L2237" s="427"/>
      <c r="M2237" s="427"/>
      <c r="N2237" s="427"/>
      <c r="O2237" s="427"/>
      <c r="P2237" s="427"/>
      <c r="Q2237" s="427"/>
      <c r="R2237" s="427"/>
    </row>
    <row r="2238" spans="1:18">
      <c r="A2238" s="339">
        <v>65.177999999999997</v>
      </c>
      <c r="B2238" s="334" t="s">
        <v>3981</v>
      </c>
      <c r="C2238" s="340" t="s">
        <v>3980</v>
      </c>
      <c r="D2238" s="341">
        <v>1.86</v>
      </c>
      <c r="E2238" s="341">
        <v>1.86</v>
      </c>
      <c r="F2238" s="341"/>
      <c r="G2238" s="341"/>
      <c r="H2238" s="342">
        <v>24.33</v>
      </c>
      <c r="I2238" s="342">
        <v>24.33</v>
      </c>
      <c r="J2238" s="342"/>
      <c r="K2238" s="342"/>
      <c r="L2238" s="357">
        <v>13.08064516129032</v>
      </c>
      <c r="M2238" s="357">
        <v>13.05</v>
      </c>
      <c r="N2238" s="357" t="s">
        <v>135</v>
      </c>
      <c r="O2238" s="357" t="s">
        <v>135</v>
      </c>
      <c r="P2238" s="343"/>
      <c r="Q2238" s="343"/>
      <c r="R2238" s="343">
        <v>2</v>
      </c>
    </row>
    <row r="2239" spans="1:18" ht="12.75">
      <c r="A2239" s="426" t="s">
        <v>3982</v>
      </c>
      <c r="B2239" s="427"/>
      <c r="C2239" s="427"/>
      <c r="D2239" s="427"/>
      <c r="E2239" s="427"/>
      <c r="F2239" s="427"/>
      <c r="G2239" s="427"/>
      <c r="H2239" s="427"/>
      <c r="I2239" s="427"/>
      <c r="J2239" s="427"/>
      <c r="K2239" s="427"/>
      <c r="L2239" s="427"/>
      <c r="M2239" s="427"/>
      <c r="N2239" s="427"/>
      <c r="O2239" s="427"/>
      <c r="P2239" s="427"/>
      <c r="Q2239" s="427"/>
      <c r="R2239" s="427"/>
    </row>
    <row r="2240" spans="1:18" ht="36">
      <c r="A2240" s="339">
        <v>65.179000000000002</v>
      </c>
      <c r="B2240" s="334" t="s">
        <v>3983</v>
      </c>
      <c r="C2240" s="340" t="s">
        <v>3984</v>
      </c>
      <c r="D2240" s="341">
        <v>514.54</v>
      </c>
      <c r="E2240" s="341">
        <v>487.08</v>
      </c>
      <c r="F2240" s="341">
        <v>27.46</v>
      </c>
      <c r="G2240" s="341"/>
      <c r="H2240" s="342">
        <v>6564.87</v>
      </c>
      <c r="I2240" s="342">
        <v>6356.44</v>
      </c>
      <c r="J2240" s="342">
        <v>208.43</v>
      </c>
      <c r="K2240" s="342"/>
      <c r="L2240" s="357">
        <v>12.758716523496716</v>
      </c>
      <c r="M2240" s="357">
        <v>13.05</v>
      </c>
      <c r="N2240" s="357">
        <v>7.5903131828113617</v>
      </c>
      <c r="O2240" s="357" t="s">
        <v>135</v>
      </c>
      <c r="P2240" s="343"/>
      <c r="Q2240" s="343"/>
      <c r="R2240" s="343">
        <v>3</v>
      </c>
    </row>
    <row r="2241" spans="1:18" ht="36">
      <c r="A2241" s="339">
        <v>65.180000000000007</v>
      </c>
      <c r="B2241" s="334" t="s">
        <v>3985</v>
      </c>
      <c r="C2241" s="340" t="s">
        <v>3986</v>
      </c>
      <c r="D2241" s="341">
        <v>434.04</v>
      </c>
      <c r="E2241" s="341">
        <v>406.58</v>
      </c>
      <c r="F2241" s="341">
        <v>27.46</v>
      </c>
      <c r="G2241" s="341"/>
      <c r="H2241" s="342">
        <v>5514.33</v>
      </c>
      <c r="I2241" s="342">
        <v>5305.9</v>
      </c>
      <c r="J2241" s="342">
        <v>208.43</v>
      </c>
      <c r="K2241" s="342"/>
      <c r="L2241" s="357">
        <v>12.704658556815039</v>
      </c>
      <c r="M2241" s="357">
        <v>13.05</v>
      </c>
      <c r="N2241" s="357">
        <v>7.5903131828113617</v>
      </c>
      <c r="O2241" s="357" t="s">
        <v>135</v>
      </c>
      <c r="P2241" s="343"/>
      <c r="Q2241" s="343"/>
      <c r="R2241" s="343">
        <v>3</v>
      </c>
    </row>
    <row r="2242" spans="1:18" ht="36">
      <c r="A2242" s="339">
        <v>65.180999999999997</v>
      </c>
      <c r="B2242" s="334" t="s">
        <v>3987</v>
      </c>
      <c r="C2242" s="340" t="s">
        <v>3988</v>
      </c>
      <c r="D2242" s="341">
        <v>354.56</v>
      </c>
      <c r="E2242" s="341">
        <v>327.10000000000002</v>
      </c>
      <c r="F2242" s="341">
        <v>27.46</v>
      </c>
      <c r="G2242" s="341"/>
      <c r="H2242" s="342">
        <v>4477.09</v>
      </c>
      <c r="I2242" s="342">
        <v>4268.66</v>
      </c>
      <c r="J2242" s="342">
        <v>208.43</v>
      </c>
      <c r="K2242" s="342"/>
      <c r="L2242" s="357">
        <v>12.627171705776174</v>
      </c>
      <c r="M2242" s="357">
        <v>13.05</v>
      </c>
      <c r="N2242" s="357">
        <v>7.5903131828113617</v>
      </c>
      <c r="O2242" s="357" t="s">
        <v>135</v>
      </c>
      <c r="P2242" s="343"/>
      <c r="Q2242" s="343"/>
      <c r="R2242" s="343">
        <v>3</v>
      </c>
    </row>
    <row r="2243" spans="1:18" ht="36">
      <c r="A2243" s="339">
        <v>65.182000000000002</v>
      </c>
      <c r="B2243" s="334" t="s">
        <v>3989</v>
      </c>
      <c r="C2243" s="340" t="s">
        <v>3990</v>
      </c>
      <c r="D2243" s="341">
        <v>279.14999999999998</v>
      </c>
      <c r="E2243" s="341">
        <v>251.69</v>
      </c>
      <c r="F2243" s="341">
        <v>27.46</v>
      </c>
      <c r="G2243" s="341"/>
      <c r="H2243" s="342">
        <v>3493.04</v>
      </c>
      <c r="I2243" s="342">
        <v>3284.61</v>
      </c>
      <c r="J2243" s="342">
        <v>208.43</v>
      </c>
      <c r="K2243" s="342"/>
      <c r="L2243" s="357">
        <v>12.513129142038332</v>
      </c>
      <c r="M2243" s="357">
        <v>13.05</v>
      </c>
      <c r="N2243" s="357">
        <v>7.5903131828113617</v>
      </c>
      <c r="O2243" s="357" t="s">
        <v>135</v>
      </c>
      <c r="P2243" s="343"/>
      <c r="Q2243" s="343"/>
      <c r="R2243" s="343">
        <v>3</v>
      </c>
    </row>
    <row r="2244" spans="1:18" ht="36">
      <c r="A2244" s="339">
        <v>65.183000000000007</v>
      </c>
      <c r="B2244" s="334" t="s">
        <v>3991</v>
      </c>
      <c r="C2244" s="340" t="s">
        <v>3992</v>
      </c>
      <c r="D2244" s="341">
        <v>255.72</v>
      </c>
      <c r="E2244" s="341">
        <v>228.26</v>
      </c>
      <c r="F2244" s="341">
        <v>27.46</v>
      </c>
      <c r="G2244" s="341"/>
      <c r="H2244" s="342">
        <v>3187.18</v>
      </c>
      <c r="I2244" s="342">
        <v>2978.75</v>
      </c>
      <c r="J2244" s="342">
        <v>208.43</v>
      </c>
      <c r="K2244" s="342"/>
      <c r="L2244" s="357">
        <v>12.463553887063975</v>
      </c>
      <c r="M2244" s="357">
        <v>13.05</v>
      </c>
      <c r="N2244" s="357">
        <v>7.5903131828113617</v>
      </c>
      <c r="O2244" s="357" t="s">
        <v>135</v>
      </c>
      <c r="P2244" s="343"/>
      <c r="Q2244" s="343"/>
      <c r="R2244" s="343">
        <v>3</v>
      </c>
    </row>
    <row r="2245" spans="1:18" ht="36">
      <c r="A2245" s="339">
        <v>65.183999999999997</v>
      </c>
      <c r="B2245" s="334" t="s">
        <v>3993</v>
      </c>
      <c r="C2245" s="340" t="s">
        <v>3994</v>
      </c>
      <c r="D2245" s="341">
        <v>678.6</v>
      </c>
      <c r="E2245" s="341">
        <v>651.14</v>
      </c>
      <c r="F2245" s="341">
        <v>27.46</v>
      </c>
      <c r="G2245" s="341"/>
      <c r="H2245" s="342">
        <v>8705.85</v>
      </c>
      <c r="I2245" s="342">
        <v>8497.42</v>
      </c>
      <c r="J2245" s="342">
        <v>208.43</v>
      </c>
      <c r="K2245" s="342"/>
      <c r="L2245" s="357">
        <v>12.829133510167994</v>
      </c>
      <c r="M2245" s="357">
        <v>13.05</v>
      </c>
      <c r="N2245" s="357">
        <v>7.5903131828113617</v>
      </c>
      <c r="O2245" s="357" t="s">
        <v>135</v>
      </c>
      <c r="P2245" s="343"/>
      <c r="Q2245" s="343"/>
      <c r="R2245" s="343">
        <v>3</v>
      </c>
    </row>
    <row r="2246" spans="1:18" ht="36">
      <c r="A2246" s="339">
        <v>65.185000000000002</v>
      </c>
      <c r="B2246" s="334" t="s">
        <v>3995</v>
      </c>
      <c r="C2246" s="340" t="s">
        <v>3996</v>
      </c>
      <c r="D2246" s="341">
        <v>517.6</v>
      </c>
      <c r="E2246" s="341">
        <v>490.14</v>
      </c>
      <c r="F2246" s="341">
        <v>27.46</v>
      </c>
      <c r="G2246" s="341"/>
      <c r="H2246" s="342">
        <v>6604.77</v>
      </c>
      <c r="I2246" s="342">
        <v>6396.34</v>
      </c>
      <c r="J2246" s="342">
        <v>208.43</v>
      </c>
      <c r="K2246" s="342"/>
      <c r="L2246" s="357">
        <v>12.760374806800618</v>
      </c>
      <c r="M2246" s="357">
        <v>13.05</v>
      </c>
      <c r="N2246" s="357">
        <v>7.5903131828113617</v>
      </c>
      <c r="O2246" s="357" t="s">
        <v>135</v>
      </c>
      <c r="P2246" s="343"/>
      <c r="Q2246" s="343"/>
      <c r="R2246" s="343">
        <v>3</v>
      </c>
    </row>
    <row r="2247" spans="1:18" ht="36">
      <c r="A2247" s="339">
        <v>65.186000000000007</v>
      </c>
      <c r="B2247" s="334" t="s">
        <v>3997</v>
      </c>
      <c r="C2247" s="340" t="s">
        <v>3998</v>
      </c>
      <c r="D2247" s="341">
        <v>437.1</v>
      </c>
      <c r="E2247" s="341">
        <v>409.64</v>
      </c>
      <c r="F2247" s="341">
        <v>27.46</v>
      </c>
      <c r="G2247" s="341"/>
      <c r="H2247" s="342">
        <v>5554.23</v>
      </c>
      <c r="I2247" s="342">
        <v>5345.8</v>
      </c>
      <c r="J2247" s="342">
        <v>208.43</v>
      </c>
      <c r="K2247" s="342"/>
      <c r="L2247" s="357">
        <v>12.707000686341797</v>
      </c>
      <c r="M2247" s="357">
        <v>13.05</v>
      </c>
      <c r="N2247" s="357">
        <v>7.5903131828113617</v>
      </c>
      <c r="O2247" s="357" t="s">
        <v>135</v>
      </c>
      <c r="P2247" s="343"/>
      <c r="Q2247" s="343"/>
      <c r="R2247" s="343">
        <v>3</v>
      </c>
    </row>
    <row r="2248" spans="1:18" ht="36">
      <c r="A2248" s="339">
        <v>65.186999999999998</v>
      </c>
      <c r="B2248" s="334" t="s">
        <v>3999</v>
      </c>
      <c r="C2248" s="340" t="s">
        <v>4000</v>
      </c>
      <c r="D2248" s="341">
        <v>354.56</v>
      </c>
      <c r="E2248" s="341">
        <v>327.10000000000002</v>
      </c>
      <c r="F2248" s="341">
        <v>27.46</v>
      </c>
      <c r="G2248" s="341"/>
      <c r="H2248" s="342">
        <v>4477.09</v>
      </c>
      <c r="I2248" s="342">
        <v>4268.66</v>
      </c>
      <c r="J2248" s="342">
        <v>208.43</v>
      </c>
      <c r="K2248" s="342"/>
      <c r="L2248" s="357">
        <v>12.627171705776174</v>
      </c>
      <c r="M2248" s="357">
        <v>13.05</v>
      </c>
      <c r="N2248" s="357">
        <v>7.5903131828113617</v>
      </c>
      <c r="O2248" s="357" t="s">
        <v>135</v>
      </c>
      <c r="P2248" s="343"/>
      <c r="Q2248" s="343"/>
      <c r="R2248" s="343">
        <v>3</v>
      </c>
    </row>
    <row r="2249" spans="1:18" ht="36">
      <c r="A2249" s="339">
        <v>65.188000000000002</v>
      </c>
      <c r="B2249" s="334" t="s">
        <v>4001</v>
      </c>
      <c r="C2249" s="340" t="s">
        <v>4002</v>
      </c>
      <c r="D2249" s="341">
        <v>331.12</v>
      </c>
      <c r="E2249" s="341">
        <v>303.66000000000003</v>
      </c>
      <c r="F2249" s="341">
        <v>27.46</v>
      </c>
      <c r="G2249" s="341"/>
      <c r="H2249" s="342">
        <v>4171.2299999999996</v>
      </c>
      <c r="I2249" s="342">
        <v>3962.8</v>
      </c>
      <c r="J2249" s="342">
        <v>208.43</v>
      </c>
      <c r="K2249" s="342"/>
      <c r="L2249" s="357">
        <v>12.59733631311911</v>
      </c>
      <c r="M2249" s="357">
        <v>13.05</v>
      </c>
      <c r="N2249" s="357">
        <v>7.5903131828113617</v>
      </c>
      <c r="O2249" s="357" t="s">
        <v>135</v>
      </c>
      <c r="P2249" s="343"/>
      <c r="Q2249" s="343"/>
      <c r="R2249" s="343">
        <v>3</v>
      </c>
    </row>
    <row r="2250" spans="1:18" ht="24">
      <c r="A2250" s="339">
        <v>65.188999999999993</v>
      </c>
      <c r="B2250" s="334" t="s">
        <v>4003</v>
      </c>
      <c r="C2250" s="340" t="s">
        <v>4004</v>
      </c>
      <c r="D2250" s="341">
        <v>599.12</v>
      </c>
      <c r="E2250" s="341">
        <v>571.66</v>
      </c>
      <c r="F2250" s="341">
        <v>27.46</v>
      </c>
      <c r="G2250" s="341"/>
      <c r="H2250" s="342">
        <v>7668.61</v>
      </c>
      <c r="I2250" s="342">
        <v>7460.18</v>
      </c>
      <c r="J2250" s="342">
        <v>208.43</v>
      </c>
      <c r="K2250" s="342"/>
      <c r="L2250" s="357">
        <v>12.799789691547602</v>
      </c>
      <c r="M2250" s="357">
        <v>13.05</v>
      </c>
      <c r="N2250" s="357">
        <v>7.5903131828113617</v>
      </c>
      <c r="O2250" s="357" t="s">
        <v>135</v>
      </c>
      <c r="P2250" s="343"/>
      <c r="Q2250" s="343"/>
      <c r="R2250" s="343">
        <v>3</v>
      </c>
    </row>
    <row r="2251" spans="1:18" ht="36">
      <c r="A2251" s="339">
        <v>65.19</v>
      </c>
      <c r="B2251" s="334" t="s">
        <v>4005</v>
      </c>
      <c r="C2251" s="340" t="s">
        <v>4006</v>
      </c>
      <c r="D2251" s="341">
        <v>522.69000000000005</v>
      </c>
      <c r="E2251" s="341">
        <v>495.23</v>
      </c>
      <c r="F2251" s="341">
        <v>27.46</v>
      </c>
      <c r="G2251" s="341"/>
      <c r="H2251" s="342">
        <v>6671.26</v>
      </c>
      <c r="I2251" s="342">
        <v>6462.83</v>
      </c>
      <c r="J2251" s="342">
        <v>208.43</v>
      </c>
      <c r="K2251" s="342"/>
      <c r="L2251" s="357">
        <v>12.763320515028028</v>
      </c>
      <c r="M2251" s="357">
        <v>13.05</v>
      </c>
      <c r="N2251" s="357">
        <v>7.5903131828113617</v>
      </c>
      <c r="O2251" s="357" t="s">
        <v>135</v>
      </c>
      <c r="P2251" s="343"/>
      <c r="Q2251" s="343"/>
      <c r="R2251" s="343">
        <v>3</v>
      </c>
    </row>
    <row r="2252" spans="1:18" ht="36">
      <c r="A2252" s="339">
        <v>65.191000000000003</v>
      </c>
      <c r="B2252" s="334" t="s">
        <v>4007</v>
      </c>
      <c r="C2252" s="340" t="s">
        <v>4008</v>
      </c>
      <c r="D2252" s="341">
        <v>359.65</v>
      </c>
      <c r="E2252" s="341">
        <v>332.19</v>
      </c>
      <c r="F2252" s="341">
        <v>27.46</v>
      </c>
      <c r="G2252" s="341"/>
      <c r="H2252" s="342">
        <v>4543.58</v>
      </c>
      <c r="I2252" s="342">
        <v>4335.1499999999996</v>
      </c>
      <c r="J2252" s="342">
        <v>208.43</v>
      </c>
      <c r="K2252" s="342"/>
      <c r="L2252" s="357">
        <v>12.633337967468373</v>
      </c>
      <c r="M2252" s="357">
        <v>13.05</v>
      </c>
      <c r="N2252" s="357">
        <v>7.5903131828113617</v>
      </c>
      <c r="O2252" s="357" t="s">
        <v>135</v>
      </c>
      <c r="P2252" s="343"/>
      <c r="Q2252" s="343"/>
      <c r="R2252" s="343">
        <v>3</v>
      </c>
    </row>
    <row r="2253" spans="1:18" ht="36">
      <c r="A2253" s="339">
        <v>65.191999999999993</v>
      </c>
      <c r="B2253" s="334" t="s">
        <v>4009</v>
      </c>
      <c r="C2253" s="340" t="s">
        <v>4010</v>
      </c>
      <c r="D2253" s="341">
        <v>331.12</v>
      </c>
      <c r="E2253" s="341">
        <v>303.66000000000003</v>
      </c>
      <c r="F2253" s="341">
        <v>27.46</v>
      </c>
      <c r="G2253" s="341"/>
      <c r="H2253" s="342">
        <v>4171.2299999999996</v>
      </c>
      <c r="I2253" s="342">
        <v>3962.8</v>
      </c>
      <c r="J2253" s="342">
        <v>208.43</v>
      </c>
      <c r="K2253" s="342"/>
      <c r="L2253" s="357">
        <v>12.59733631311911</v>
      </c>
      <c r="M2253" s="357">
        <v>13.05</v>
      </c>
      <c r="N2253" s="357">
        <v>7.5903131828113617</v>
      </c>
      <c r="O2253" s="357" t="s">
        <v>135</v>
      </c>
      <c r="P2253" s="343"/>
      <c r="Q2253" s="343"/>
      <c r="R2253" s="343">
        <v>3</v>
      </c>
    </row>
    <row r="2254" spans="1:18" ht="36">
      <c r="A2254" s="339">
        <v>65.192999999999998</v>
      </c>
      <c r="B2254" s="334" t="s">
        <v>4011</v>
      </c>
      <c r="C2254" s="340" t="s">
        <v>4012</v>
      </c>
      <c r="D2254" s="341">
        <v>277.12</v>
      </c>
      <c r="E2254" s="341">
        <v>249.66</v>
      </c>
      <c r="F2254" s="341">
        <v>27.46</v>
      </c>
      <c r="G2254" s="341"/>
      <c r="H2254" s="342">
        <v>3466.44</v>
      </c>
      <c r="I2254" s="342">
        <v>3258.01</v>
      </c>
      <c r="J2254" s="342">
        <v>208.43</v>
      </c>
      <c r="K2254" s="342"/>
      <c r="L2254" s="357">
        <v>12.508804849884527</v>
      </c>
      <c r="M2254" s="357">
        <v>13.05</v>
      </c>
      <c r="N2254" s="357">
        <v>7.5903131828113617</v>
      </c>
      <c r="O2254" s="357" t="s">
        <v>135</v>
      </c>
      <c r="P2254" s="343"/>
      <c r="Q2254" s="343"/>
      <c r="R2254" s="343">
        <v>3</v>
      </c>
    </row>
    <row r="2255" spans="1:18" ht="12.75">
      <c r="A2255" s="426" t="s">
        <v>4013</v>
      </c>
      <c r="B2255" s="427"/>
      <c r="C2255" s="427"/>
      <c r="D2255" s="427"/>
      <c r="E2255" s="427"/>
      <c r="F2255" s="427"/>
      <c r="G2255" s="427"/>
      <c r="H2255" s="427"/>
      <c r="I2255" s="427"/>
      <c r="J2255" s="427"/>
      <c r="K2255" s="427"/>
      <c r="L2255" s="427"/>
      <c r="M2255" s="427"/>
      <c r="N2255" s="427"/>
      <c r="O2255" s="427"/>
      <c r="P2255" s="427"/>
      <c r="Q2255" s="427"/>
      <c r="R2255" s="427"/>
    </row>
    <row r="2256" spans="1:18">
      <c r="A2256" s="339">
        <v>65.194000000000003</v>
      </c>
      <c r="B2256" s="334" t="s">
        <v>4014</v>
      </c>
      <c r="C2256" s="340" t="s">
        <v>4015</v>
      </c>
      <c r="D2256" s="341">
        <v>5812.32</v>
      </c>
      <c r="E2256" s="341">
        <v>5784.86</v>
      </c>
      <c r="F2256" s="341">
        <v>27.46</v>
      </c>
      <c r="G2256" s="341"/>
      <c r="H2256" s="342">
        <v>75701.179999999993</v>
      </c>
      <c r="I2256" s="342">
        <v>75492.75</v>
      </c>
      <c r="J2256" s="342">
        <v>208.43</v>
      </c>
      <c r="K2256" s="342"/>
      <c r="L2256" s="357">
        <v>13.024262256723649</v>
      </c>
      <c r="M2256" s="357">
        <v>13.05</v>
      </c>
      <c r="N2256" s="357">
        <v>7.5903131828113617</v>
      </c>
      <c r="O2256" s="357" t="s">
        <v>135</v>
      </c>
      <c r="P2256" s="343"/>
      <c r="Q2256" s="343"/>
      <c r="R2256" s="343">
        <v>4</v>
      </c>
    </row>
    <row r="2257" spans="1:18">
      <c r="A2257" s="339">
        <v>65.194999999999993</v>
      </c>
      <c r="B2257" s="334" t="s">
        <v>4016</v>
      </c>
      <c r="C2257" s="340" t="s">
        <v>4017</v>
      </c>
      <c r="D2257" s="341">
        <v>11805.75</v>
      </c>
      <c r="E2257" s="341">
        <v>11759.26</v>
      </c>
      <c r="F2257" s="341">
        <v>46.49</v>
      </c>
      <c r="G2257" s="341"/>
      <c r="H2257" s="342">
        <v>153811.85</v>
      </c>
      <c r="I2257" s="342">
        <v>153458.92000000001</v>
      </c>
      <c r="J2257" s="342">
        <v>352.93</v>
      </c>
      <c r="K2257" s="342"/>
      <c r="L2257" s="357">
        <v>13.028553882641933</v>
      </c>
      <c r="M2257" s="357">
        <v>13.05</v>
      </c>
      <c r="N2257" s="357">
        <v>7.5915250591525059</v>
      </c>
      <c r="O2257" s="357" t="s">
        <v>135</v>
      </c>
      <c r="P2257" s="343"/>
      <c r="Q2257" s="343"/>
      <c r="R2257" s="343">
        <v>4</v>
      </c>
    </row>
    <row r="2258" spans="1:18" ht="12.75">
      <c r="A2258" s="426" t="s">
        <v>4018</v>
      </c>
      <c r="B2258" s="427"/>
      <c r="C2258" s="427"/>
      <c r="D2258" s="427"/>
      <c r="E2258" s="427"/>
      <c r="F2258" s="427"/>
      <c r="G2258" s="427"/>
      <c r="H2258" s="427"/>
      <c r="I2258" s="427"/>
      <c r="J2258" s="427"/>
      <c r="K2258" s="427"/>
      <c r="L2258" s="427"/>
      <c r="M2258" s="427"/>
      <c r="N2258" s="427"/>
      <c r="O2258" s="427"/>
      <c r="P2258" s="427"/>
      <c r="Q2258" s="427"/>
      <c r="R2258" s="427"/>
    </row>
    <row r="2259" spans="1:18" ht="24">
      <c r="A2259" s="339">
        <v>65.195999999999998</v>
      </c>
      <c r="B2259" s="334" t="s">
        <v>4019</v>
      </c>
      <c r="C2259" s="340" t="s">
        <v>4020</v>
      </c>
      <c r="D2259" s="341">
        <v>3533.84</v>
      </c>
      <c r="E2259" s="341">
        <v>3506.38</v>
      </c>
      <c r="F2259" s="341">
        <v>27.46</v>
      </c>
      <c r="G2259" s="341"/>
      <c r="H2259" s="342">
        <v>45966.85</v>
      </c>
      <c r="I2259" s="342">
        <v>45758.42</v>
      </c>
      <c r="J2259" s="342">
        <v>208.43</v>
      </c>
      <c r="K2259" s="342"/>
      <c r="L2259" s="357">
        <v>13.007620605347157</v>
      </c>
      <c r="M2259" s="357">
        <v>13.05</v>
      </c>
      <c r="N2259" s="357">
        <v>7.5903131828113617</v>
      </c>
      <c r="O2259" s="357" t="s">
        <v>135</v>
      </c>
      <c r="P2259" s="343"/>
      <c r="Q2259" s="343"/>
      <c r="R2259" s="343">
        <v>5</v>
      </c>
    </row>
    <row r="2260" spans="1:18" ht="24">
      <c r="A2260" s="339">
        <v>65.197000000000003</v>
      </c>
      <c r="B2260" s="334" t="s">
        <v>4021</v>
      </c>
      <c r="C2260" s="340" t="s">
        <v>4022</v>
      </c>
      <c r="D2260" s="341">
        <v>8718.11</v>
      </c>
      <c r="E2260" s="341">
        <v>8635.01</v>
      </c>
      <c r="F2260" s="341">
        <v>83.1</v>
      </c>
      <c r="G2260" s="341"/>
      <c r="H2260" s="342">
        <v>113318.08</v>
      </c>
      <c r="I2260" s="342">
        <v>112687.25</v>
      </c>
      <c r="J2260" s="342">
        <v>630.83000000000004</v>
      </c>
      <c r="K2260" s="342"/>
      <c r="L2260" s="357">
        <v>12.998009889758215</v>
      </c>
      <c r="M2260" s="357">
        <v>13.05</v>
      </c>
      <c r="N2260" s="357">
        <v>7.5912154031287615</v>
      </c>
      <c r="O2260" s="357" t="s">
        <v>135</v>
      </c>
      <c r="P2260" s="343"/>
      <c r="Q2260" s="343"/>
      <c r="R2260" s="343">
        <v>5</v>
      </c>
    </row>
    <row r="2261" spans="1:18" ht="24">
      <c r="A2261" s="339">
        <v>65.197999999999993</v>
      </c>
      <c r="B2261" s="334" t="s">
        <v>4023</v>
      </c>
      <c r="C2261" s="340" t="s">
        <v>4024</v>
      </c>
      <c r="D2261" s="341">
        <v>14125.44</v>
      </c>
      <c r="E2261" s="341">
        <v>13931.77</v>
      </c>
      <c r="F2261" s="341">
        <v>193.67</v>
      </c>
      <c r="G2261" s="341"/>
      <c r="H2261" s="342">
        <v>183280.35</v>
      </c>
      <c r="I2261" s="342">
        <v>181810.26</v>
      </c>
      <c r="J2261" s="342">
        <v>1470.09</v>
      </c>
      <c r="K2261" s="342"/>
      <c r="L2261" s="357">
        <v>12.975195816909066</v>
      </c>
      <c r="M2261" s="357">
        <v>13.05</v>
      </c>
      <c r="N2261" s="357">
        <v>7.5906955129860068</v>
      </c>
      <c r="O2261" s="357" t="s">
        <v>135</v>
      </c>
      <c r="P2261" s="343"/>
      <c r="Q2261" s="343"/>
      <c r="R2261" s="343">
        <v>5</v>
      </c>
    </row>
    <row r="2262" spans="1:18" ht="24">
      <c r="A2262" s="339">
        <v>65.198999999999998</v>
      </c>
      <c r="B2262" s="334" t="s">
        <v>4025</v>
      </c>
      <c r="C2262" s="340" t="s">
        <v>4026</v>
      </c>
      <c r="D2262" s="341">
        <v>18380.04</v>
      </c>
      <c r="E2262" s="341">
        <v>17881.41</v>
      </c>
      <c r="F2262" s="341">
        <v>498.63</v>
      </c>
      <c r="G2262" s="341"/>
      <c r="H2262" s="342">
        <v>237138.3</v>
      </c>
      <c r="I2262" s="342">
        <v>233353.3</v>
      </c>
      <c r="J2262" s="342">
        <v>3785</v>
      </c>
      <c r="K2262" s="342"/>
      <c r="L2262" s="357">
        <v>12.901946894566061</v>
      </c>
      <c r="M2262" s="357">
        <v>13.05</v>
      </c>
      <c r="N2262" s="357">
        <v>7.5907987886809858</v>
      </c>
      <c r="O2262" s="357" t="s">
        <v>135</v>
      </c>
      <c r="P2262" s="343"/>
      <c r="Q2262" s="343"/>
      <c r="R2262" s="343">
        <v>5</v>
      </c>
    </row>
    <row r="2263" spans="1:18" ht="24">
      <c r="A2263" s="339">
        <v>65.2</v>
      </c>
      <c r="B2263" s="334" t="s">
        <v>4027</v>
      </c>
      <c r="C2263" s="340" t="s">
        <v>4028</v>
      </c>
      <c r="D2263" s="341">
        <v>22251.84</v>
      </c>
      <c r="E2263" s="341">
        <v>21476.44</v>
      </c>
      <c r="F2263" s="341">
        <v>775.4</v>
      </c>
      <c r="G2263" s="341"/>
      <c r="H2263" s="342">
        <v>286154.57</v>
      </c>
      <c r="I2263" s="342">
        <v>280268.65000000002</v>
      </c>
      <c r="J2263" s="342">
        <v>5885.92</v>
      </c>
      <c r="K2263" s="342"/>
      <c r="L2263" s="357">
        <v>12.859816087119087</v>
      </c>
      <c r="M2263" s="357">
        <v>13.05</v>
      </c>
      <c r="N2263" s="357">
        <v>7.5908176425070932</v>
      </c>
      <c r="O2263" s="357" t="s">
        <v>135</v>
      </c>
      <c r="P2263" s="343"/>
      <c r="Q2263" s="343"/>
      <c r="R2263" s="343">
        <v>5</v>
      </c>
    </row>
    <row r="2264" spans="1:18" ht="12.75">
      <c r="A2264" s="426" t="s">
        <v>4029</v>
      </c>
      <c r="B2264" s="427"/>
      <c r="C2264" s="427"/>
      <c r="D2264" s="427"/>
      <c r="E2264" s="427"/>
      <c r="F2264" s="427"/>
      <c r="G2264" s="427"/>
      <c r="H2264" s="427"/>
      <c r="I2264" s="427"/>
      <c r="J2264" s="427"/>
      <c r="K2264" s="427"/>
      <c r="L2264" s="427"/>
      <c r="M2264" s="427"/>
      <c r="N2264" s="427"/>
      <c r="O2264" s="427"/>
      <c r="P2264" s="427"/>
      <c r="Q2264" s="427"/>
      <c r="R2264" s="427"/>
    </row>
    <row r="2265" spans="1:18">
      <c r="A2265" s="339">
        <v>65.200999999999993</v>
      </c>
      <c r="B2265" s="334" t="s">
        <v>4030</v>
      </c>
      <c r="C2265" s="340" t="s">
        <v>4029</v>
      </c>
      <c r="D2265" s="341">
        <v>3727.18</v>
      </c>
      <c r="E2265" s="341">
        <v>470.68</v>
      </c>
      <c r="F2265" s="341">
        <v>0.37</v>
      </c>
      <c r="G2265" s="341">
        <v>3256.13</v>
      </c>
      <c r="H2265" s="342">
        <v>20370.96</v>
      </c>
      <c r="I2265" s="342">
        <v>6142.35</v>
      </c>
      <c r="J2265" s="342">
        <v>2.78</v>
      </c>
      <c r="K2265" s="342">
        <v>14225.83</v>
      </c>
      <c r="L2265" s="357">
        <v>5.4655154835559321</v>
      </c>
      <c r="M2265" s="357">
        <v>13.05</v>
      </c>
      <c r="N2265" s="357">
        <v>7.5135135135135132</v>
      </c>
      <c r="O2265" s="357">
        <v>4.3689379723782524</v>
      </c>
      <c r="P2265" s="343"/>
      <c r="Q2265" s="343"/>
      <c r="R2265" s="343">
        <v>6</v>
      </c>
    </row>
    <row r="2266" spans="1:18" ht="12.75">
      <c r="A2266" s="426" t="s">
        <v>4031</v>
      </c>
      <c r="B2266" s="427"/>
      <c r="C2266" s="427"/>
      <c r="D2266" s="427"/>
      <c r="E2266" s="427"/>
      <c r="F2266" s="427"/>
      <c r="G2266" s="427"/>
      <c r="H2266" s="427"/>
      <c r="I2266" s="427"/>
      <c r="J2266" s="427"/>
      <c r="K2266" s="427"/>
      <c r="L2266" s="427"/>
      <c r="M2266" s="427"/>
      <c r="N2266" s="427"/>
      <c r="O2266" s="427"/>
      <c r="P2266" s="427"/>
      <c r="Q2266" s="427"/>
      <c r="R2266" s="427"/>
    </row>
    <row r="2267" spans="1:18">
      <c r="A2267" s="339">
        <v>65.201999999999998</v>
      </c>
      <c r="B2267" s="334" t="s">
        <v>4032</v>
      </c>
      <c r="C2267" s="340" t="s">
        <v>4031</v>
      </c>
      <c r="D2267" s="341">
        <v>2535.65</v>
      </c>
      <c r="E2267" s="341">
        <v>1723.5</v>
      </c>
      <c r="F2267" s="341">
        <v>106.13</v>
      </c>
      <c r="G2267" s="341">
        <v>706.02</v>
      </c>
      <c r="H2267" s="342">
        <v>27758.45</v>
      </c>
      <c r="I2267" s="342">
        <v>22491</v>
      </c>
      <c r="J2267" s="342">
        <v>606.41999999999996</v>
      </c>
      <c r="K2267" s="342">
        <v>4661.03</v>
      </c>
      <c r="L2267" s="357">
        <v>10.947271902667955</v>
      </c>
      <c r="M2267" s="357">
        <v>13.05</v>
      </c>
      <c r="N2267" s="357">
        <v>5.7139357391877885</v>
      </c>
      <c r="O2267" s="357">
        <v>6.6018384748307408</v>
      </c>
      <c r="P2267" s="343"/>
      <c r="Q2267" s="343"/>
      <c r="R2267" s="343">
        <v>7</v>
      </c>
    </row>
    <row r="2268" spans="1:18" ht="12.75">
      <c r="A2268" s="426" t="s">
        <v>4033</v>
      </c>
      <c r="B2268" s="427"/>
      <c r="C2268" s="427"/>
      <c r="D2268" s="427"/>
      <c r="E2268" s="427"/>
      <c r="F2268" s="427"/>
      <c r="G2268" s="427"/>
      <c r="H2268" s="427"/>
      <c r="I2268" s="427"/>
      <c r="J2268" s="427"/>
      <c r="K2268" s="427"/>
      <c r="L2268" s="427"/>
      <c r="M2268" s="427"/>
      <c r="N2268" s="427"/>
      <c r="O2268" s="427"/>
      <c r="P2268" s="427"/>
      <c r="Q2268" s="427"/>
      <c r="R2268" s="427"/>
    </row>
    <row r="2269" spans="1:18">
      <c r="A2269" s="344">
        <v>65.203000000000003</v>
      </c>
      <c r="B2269" s="345" t="s">
        <v>4034</v>
      </c>
      <c r="C2269" s="346" t="s">
        <v>4033</v>
      </c>
      <c r="D2269" s="347">
        <v>223.03</v>
      </c>
      <c r="E2269" s="347">
        <v>190.55</v>
      </c>
      <c r="F2269" s="347">
        <v>0.37</v>
      </c>
      <c r="G2269" s="347">
        <v>32.11</v>
      </c>
      <c r="H2269" s="348">
        <v>2696.59</v>
      </c>
      <c r="I2269" s="348">
        <v>2486.73</v>
      </c>
      <c r="J2269" s="348">
        <v>2.78</v>
      </c>
      <c r="K2269" s="348">
        <v>207.08</v>
      </c>
      <c r="L2269" s="356">
        <v>12.090705286284358</v>
      </c>
      <c r="M2269" s="356">
        <v>13.05</v>
      </c>
      <c r="N2269" s="356">
        <v>7.5135135135135132</v>
      </c>
      <c r="O2269" s="356">
        <v>6.4490812830893809</v>
      </c>
      <c r="P2269" s="349"/>
      <c r="Q2269" s="349"/>
      <c r="R2269" s="349">
        <v>8</v>
      </c>
    </row>
    <row r="2270" spans="1:18" ht="12.75">
      <c r="A2270" s="428" t="s">
        <v>2419</v>
      </c>
      <c r="B2270" s="429"/>
      <c r="C2270" s="429"/>
      <c r="D2270" s="429"/>
      <c r="E2270" s="429"/>
      <c r="F2270" s="429"/>
      <c r="G2270" s="429"/>
      <c r="H2270" s="429"/>
      <c r="I2270" s="429"/>
      <c r="J2270" s="429"/>
      <c r="K2270" s="429"/>
      <c r="L2270" s="429"/>
      <c r="M2270" s="429"/>
      <c r="N2270" s="429"/>
      <c r="O2270" s="429"/>
      <c r="P2270" s="429"/>
      <c r="Q2270" s="429"/>
      <c r="R2270" s="429"/>
    </row>
    <row r="2271" spans="1:18" ht="12.75">
      <c r="A2271" s="426" t="s">
        <v>4035</v>
      </c>
      <c r="B2271" s="427"/>
      <c r="C2271" s="427"/>
      <c r="D2271" s="427"/>
      <c r="E2271" s="427"/>
      <c r="F2271" s="427"/>
      <c r="G2271" s="427"/>
      <c r="H2271" s="427"/>
      <c r="I2271" s="427"/>
      <c r="J2271" s="427"/>
      <c r="K2271" s="427"/>
      <c r="L2271" s="427"/>
      <c r="M2271" s="427"/>
      <c r="N2271" s="427"/>
      <c r="O2271" s="427"/>
      <c r="P2271" s="427"/>
      <c r="Q2271" s="427"/>
      <c r="R2271" s="427"/>
    </row>
    <row r="2272" spans="1:18" ht="24">
      <c r="A2272" s="339">
        <v>65.203999999999994</v>
      </c>
      <c r="B2272" s="334" t="s">
        <v>4036</v>
      </c>
      <c r="C2272" s="340" t="s">
        <v>4037</v>
      </c>
      <c r="D2272" s="341">
        <v>374.24</v>
      </c>
      <c r="E2272" s="341">
        <v>353.37</v>
      </c>
      <c r="F2272" s="341">
        <v>20.87</v>
      </c>
      <c r="G2272" s="341"/>
      <c r="H2272" s="342">
        <v>4769.74</v>
      </c>
      <c r="I2272" s="342">
        <v>4611.34</v>
      </c>
      <c r="J2272" s="342">
        <v>158.4</v>
      </c>
      <c r="K2272" s="342"/>
      <c r="L2272" s="357">
        <v>12.745136810602821</v>
      </c>
      <c r="M2272" s="357">
        <v>13.05</v>
      </c>
      <c r="N2272" s="357">
        <v>7.5898418782942025</v>
      </c>
      <c r="O2272" s="357" t="s">
        <v>135</v>
      </c>
      <c r="P2272" s="343"/>
      <c r="Q2272" s="343"/>
      <c r="R2272" s="343">
        <v>1</v>
      </c>
    </row>
    <row r="2273" spans="1:18" ht="24">
      <c r="A2273" s="339">
        <v>65.204999999999998</v>
      </c>
      <c r="B2273" s="334" t="s">
        <v>4038</v>
      </c>
      <c r="C2273" s="340" t="s">
        <v>4039</v>
      </c>
      <c r="D2273" s="341">
        <v>761.42</v>
      </c>
      <c r="E2273" s="341">
        <v>722.61</v>
      </c>
      <c r="F2273" s="341">
        <v>38.81</v>
      </c>
      <c r="G2273" s="341"/>
      <c r="H2273" s="342">
        <v>9724.3700000000008</v>
      </c>
      <c r="I2273" s="342">
        <v>9429.7999999999993</v>
      </c>
      <c r="J2273" s="342">
        <v>294.57</v>
      </c>
      <c r="K2273" s="342"/>
      <c r="L2273" s="357">
        <v>12.771361403693101</v>
      </c>
      <c r="M2273" s="357">
        <v>13.05</v>
      </c>
      <c r="N2273" s="357">
        <v>7.5900541097655241</v>
      </c>
      <c r="O2273" s="357" t="s">
        <v>135</v>
      </c>
      <c r="P2273" s="343"/>
      <c r="Q2273" s="343"/>
      <c r="R2273" s="343">
        <v>1</v>
      </c>
    </row>
    <row r="2274" spans="1:18">
      <c r="A2274" s="339">
        <v>65.206000000000003</v>
      </c>
      <c r="B2274" s="334" t="s">
        <v>4040</v>
      </c>
      <c r="C2274" s="340" t="s">
        <v>4041</v>
      </c>
      <c r="D2274" s="341">
        <v>699.92</v>
      </c>
      <c r="E2274" s="341">
        <v>684.91</v>
      </c>
      <c r="F2274" s="341">
        <v>15.01</v>
      </c>
      <c r="G2274" s="341"/>
      <c r="H2274" s="342">
        <v>9051.84</v>
      </c>
      <c r="I2274" s="342">
        <v>8937.9</v>
      </c>
      <c r="J2274" s="342">
        <v>113.94</v>
      </c>
      <c r="K2274" s="342"/>
      <c r="L2274" s="357">
        <v>12.932678020345183</v>
      </c>
      <c r="M2274" s="357">
        <v>13.05</v>
      </c>
      <c r="N2274" s="357">
        <v>7.5909393737508326</v>
      </c>
      <c r="O2274" s="357" t="s">
        <v>135</v>
      </c>
      <c r="P2274" s="343"/>
      <c r="Q2274" s="343"/>
      <c r="R2274" s="343">
        <v>1</v>
      </c>
    </row>
    <row r="2275" spans="1:18">
      <c r="A2275" s="339">
        <v>65.206999999999994</v>
      </c>
      <c r="B2275" s="334" t="s">
        <v>4042</v>
      </c>
      <c r="C2275" s="340" t="s">
        <v>4043</v>
      </c>
      <c r="D2275" s="341">
        <v>327.20999999999998</v>
      </c>
      <c r="E2275" s="341">
        <v>325.01</v>
      </c>
      <c r="F2275" s="341">
        <v>2.2000000000000002</v>
      </c>
      <c r="G2275" s="341"/>
      <c r="H2275" s="342">
        <v>4257.95</v>
      </c>
      <c r="I2275" s="342">
        <v>4241.28</v>
      </c>
      <c r="J2275" s="342">
        <v>16.670000000000002</v>
      </c>
      <c r="K2275" s="342"/>
      <c r="L2275" s="357">
        <v>13.012896916353412</v>
      </c>
      <c r="M2275" s="357">
        <v>13.05</v>
      </c>
      <c r="N2275" s="357">
        <v>7.5772727272727272</v>
      </c>
      <c r="O2275" s="357" t="s">
        <v>135</v>
      </c>
      <c r="P2275" s="343"/>
      <c r="Q2275" s="343"/>
      <c r="R2275" s="343">
        <v>1</v>
      </c>
    </row>
    <row r="2276" spans="1:18">
      <c r="A2276" s="339">
        <v>65.207999999999998</v>
      </c>
      <c r="B2276" s="334" t="s">
        <v>4044</v>
      </c>
      <c r="C2276" s="340" t="s">
        <v>4045</v>
      </c>
      <c r="D2276" s="341">
        <v>1957.49</v>
      </c>
      <c r="E2276" s="341">
        <v>1910.26</v>
      </c>
      <c r="F2276" s="341">
        <v>47.23</v>
      </c>
      <c r="G2276" s="341"/>
      <c r="H2276" s="342">
        <v>25286.84</v>
      </c>
      <c r="I2276" s="342">
        <v>24928.35</v>
      </c>
      <c r="J2276" s="342">
        <v>358.49</v>
      </c>
      <c r="K2276" s="342"/>
      <c r="L2276" s="357">
        <v>12.917991918221805</v>
      </c>
      <c r="M2276" s="357">
        <v>13.05</v>
      </c>
      <c r="N2276" s="357">
        <v>7.5903027736608095</v>
      </c>
      <c r="O2276" s="357" t="s">
        <v>135</v>
      </c>
      <c r="P2276" s="343"/>
      <c r="Q2276" s="343"/>
      <c r="R2276" s="343">
        <v>1</v>
      </c>
    </row>
    <row r="2277" spans="1:18" ht="12.75">
      <c r="A2277" s="426" t="s">
        <v>4046</v>
      </c>
      <c r="B2277" s="427"/>
      <c r="C2277" s="427"/>
      <c r="D2277" s="427"/>
      <c r="E2277" s="427"/>
      <c r="F2277" s="427"/>
      <c r="G2277" s="427"/>
      <c r="H2277" s="427"/>
      <c r="I2277" s="427"/>
      <c r="J2277" s="427"/>
      <c r="K2277" s="427"/>
      <c r="L2277" s="427"/>
      <c r="M2277" s="427"/>
      <c r="N2277" s="427"/>
      <c r="O2277" s="427"/>
      <c r="P2277" s="427"/>
      <c r="Q2277" s="427"/>
      <c r="R2277" s="427"/>
    </row>
    <row r="2278" spans="1:18" ht="24">
      <c r="A2278" s="339">
        <v>65.209000000000003</v>
      </c>
      <c r="B2278" s="334" t="s">
        <v>4047</v>
      </c>
      <c r="C2278" s="340" t="s">
        <v>4048</v>
      </c>
      <c r="D2278" s="341">
        <v>690.78</v>
      </c>
      <c r="E2278" s="341">
        <v>682.73</v>
      </c>
      <c r="F2278" s="341">
        <v>8.0500000000000007</v>
      </c>
      <c r="G2278" s="341"/>
      <c r="H2278" s="342">
        <v>8970.7999999999993</v>
      </c>
      <c r="I2278" s="342">
        <v>8909.66</v>
      </c>
      <c r="J2278" s="342">
        <v>61.14</v>
      </c>
      <c r="K2278" s="342"/>
      <c r="L2278" s="357">
        <v>12.986479052665103</v>
      </c>
      <c r="M2278" s="357">
        <v>13.05</v>
      </c>
      <c r="N2278" s="357">
        <v>7.5950310559006207</v>
      </c>
      <c r="O2278" s="357" t="s">
        <v>135</v>
      </c>
      <c r="P2278" s="343"/>
      <c r="Q2278" s="343"/>
      <c r="R2278" s="343">
        <v>2</v>
      </c>
    </row>
    <row r="2279" spans="1:18" ht="24">
      <c r="A2279" s="344">
        <v>65.209999999999994</v>
      </c>
      <c r="B2279" s="345" t="s">
        <v>4049</v>
      </c>
      <c r="C2279" s="346" t="s">
        <v>4050</v>
      </c>
      <c r="D2279" s="347">
        <v>738.17</v>
      </c>
      <c r="E2279" s="347">
        <v>718.4</v>
      </c>
      <c r="F2279" s="347">
        <v>19.77</v>
      </c>
      <c r="G2279" s="347"/>
      <c r="H2279" s="348">
        <v>9525.16</v>
      </c>
      <c r="I2279" s="348">
        <v>9375.09</v>
      </c>
      <c r="J2279" s="348">
        <v>150.07</v>
      </c>
      <c r="K2279" s="348"/>
      <c r="L2279" s="356">
        <v>12.903748459027053</v>
      </c>
      <c r="M2279" s="356">
        <v>13.05</v>
      </c>
      <c r="N2279" s="356">
        <v>7.5907941325240262</v>
      </c>
      <c r="O2279" s="356" t="s">
        <v>135</v>
      </c>
      <c r="P2279" s="349"/>
      <c r="Q2279" s="349"/>
      <c r="R2279" s="349">
        <v>2</v>
      </c>
    </row>
    <row r="2280" spans="1:18" ht="12.75">
      <c r="A2280" s="428" t="s">
        <v>4051</v>
      </c>
      <c r="B2280" s="429"/>
      <c r="C2280" s="429"/>
      <c r="D2280" s="429"/>
      <c r="E2280" s="429"/>
      <c r="F2280" s="429"/>
      <c r="G2280" s="429"/>
      <c r="H2280" s="429"/>
      <c r="I2280" s="429"/>
      <c r="J2280" s="429"/>
      <c r="K2280" s="429"/>
      <c r="L2280" s="429"/>
      <c r="M2280" s="429"/>
      <c r="N2280" s="429"/>
      <c r="O2280" s="429"/>
      <c r="P2280" s="429"/>
      <c r="Q2280" s="429"/>
      <c r="R2280" s="429"/>
    </row>
    <row r="2281" spans="1:18" ht="12.75">
      <c r="A2281" s="426" t="s">
        <v>4052</v>
      </c>
      <c r="B2281" s="427"/>
      <c r="C2281" s="427"/>
      <c r="D2281" s="427"/>
      <c r="E2281" s="427"/>
      <c r="F2281" s="427"/>
      <c r="G2281" s="427"/>
      <c r="H2281" s="427"/>
      <c r="I2281" s="427"/>
      <c r="J2281" s="427"/>
      <c r="K2281" s="427"/>
      <c r="L2281" s="427"/>
      <c r="M2281" s="427"/>
      <c r="N2281" s="427"/>
      <c r="O2281" s="427"/>
      <c r="P2281" s="427"/>
      <c r="Q2281" s="427"/>
      <c r="R2281" s="427"/>
    </row>
    <row r="2282" spans="1:18" ht="24">
      <c r="A2282" s="339">
        <v>65.210999999999999</v>
      </c>
      <c r="B2282" s="334" t="s">
        <v>4053</v>
      </c>
      <c r="C2282" s="340" t="s">
        <v>4054</v>
      </c>
      <c r="D2282" s="341">
        <v>191.73</v>
      </c>
      <c r="E2282" s="341">
        <v>31.28</v>
      </c>
      <c r="F2282" s="341"/>
      <c r="G2282" s="341">
        <v>160.44999999999999</v>
      </c>
      <c r="H2282" s="342">
        <v>2716.73</v>
      </c>
      <c r="I2282" s="342">
        <v>408.21</v>
      </c>
      <c r="J2282" s="342"/>
      <c r="K2282" s="342">
        <v>2308.52</v>
      </c>
      <c r="L2282" s="357">
        <v>14.169561362332448</v>
      </c>
      <c r="M2282" s="357">
        <v>13.05</v>
      </c>
      <c r="N2282" s="357" t="s">
        <v>135</v>
      </c>
      <c r="O2282" s="357">
        <v>14.387784356497352</v>
      </c>
      <c r="P2282" s="343"/>
      <c r="Q2282" s="343"/>
      <c r="R2282" s="343">
        <v>1</v>
      </c>
    </row>
    <row r="2283" spans="1:18" ht="24">
      <c r="A2283" s="339">
        <v>65.212000000000003</v>
      </c>
      <c r="B2283" s="334" t="s">
        <v>4055</v>
      </c>
      <c r="C2283" s="340" t="s">
        <v>4056</v>
      </c>
      <c r="D2283" s="341">
        <v>88.91</v>
      </c>
      <c r="E2283" s="341">
        <v>13.7</v>
      </c>
      <c r="F2283" s="341"/>
      <c r="G2283" s="341">
        <v>75.209999999999994</v>
      </c>
      <c r="H2283" s="342">
        <v>455.58</v>
      </c>
      <c r="I2283" s="342">
        <v>178.83</v>
      </c>
      <c r="J2283" s="342"/>
      <c r="K2283" s="342">
        <v>276.75</v>
      </c>
      <c r="L2283" s="357">
        <v>5.1240580362163985</v>
      </c>
      <c r="M2283" s="357">
        <v>13.05</v>
      </c>
      <c r="N2283" s="357" t="s">
        <v>135</v>
      </c>
      <c r="O2283" s="357">
        <v>3.6796968488232951</v>
      </c>
      <c r="P2283" s="343"/>
      <c r="Q2283" s="343"/>
      <c r="R2283" s="343">
        <v>1</v>
      </c>
    </row>
    <row r="2284" spans="1:18" ht="12.75">
      <c r="A2284" s="333"/>
      <c r="B2284" s="336"/>
      <c r="C2284" s="335"/>
      <c r="D2284" s="337"/>
      <c r="E2284" s="337"/>
      <c r="F2284" s="337"/>
      <c r="G2284" s="337"/>
      <c r="H2284" s="338"/>
      <c r="I2284" s="338"/>
      <c r="J2284" s="338"/>
      <c r="K2284" s="338"/>
      <c r="L2284" s="355"/>
      <c r="M2284" s="355"/>
      <c r="N2284" s="355"/>
      <c r="O2284" s="354"/>
      <c r="P2284" s="332"/>
      <c r="Q2284" s="332"/>
      <c r="R2284" s="332"/>
    </row>
    <row r="2285" spans="1:18">
      <c r="A2285" s="313"/>
      <c r="B2285" s="316"/>
      <c r="C2285" s="313"/>
      <c r="D2285" s="313"/>
      <c r="E2285" s="313"/>
      <c r="F2285" s="313"/>
      <c r="G2285" s="313"/>
      <c r="H2285" s="315"/>
      <c r="I2285" s="315"/>
      <c r="J2285" s="315"/>
      <c r="K2285" s="315"/>
      <c r="O2285" s="353"/>
      <c r="P2285" s="313"/>
      <c r="Q2285" s="313"/>
      <c r="R2285" s="313"/>
    </row>
    <row r="2286" spans="1:18">
      <c r="O2286" s="353"/>
    </row>
    <row r="2287" spans="1:18">
      <c r="O2287" s="352"/>
    </row>
    <row r="2288" spans="1:18" ht="23.25">
      <c r="A2288" s="61"/>
      <c r="B2288" s="60"/>
      <c r="C2288" s="45" t="s">
        <v>4057</v>
      </c>
      <c r="D2288" s="45"/>
      <c r="E2288" s="45"/>
      <c r="F2288" s="45"/>
      <c r="G2288" s="45"/>
      <c r="H2288" s="58"/>
      <c r="I2288" s="58"/>
      <c r="J2288" s="58"/>
      <c r="K2288" s="58"/>
      <c r="L2288" s="351"/>
      <c r="M2288" s="351"/>
      <c r="N2288" s="351"/>
      <c r="O2288" s="350"/>
    </row>
    <row r="2289" spans="1:18" ht="12.75">
      <c r="A2289" s="428" t="s">
        <v>3597</v>
      </c>
      <c r="B2289" s="429"/>
      <c r="C2289" s="429"/>
      <c r="D2289" s="429"/>
      <c r="E2289" s="429"/>
      <c r="F2289" s="429"/>
      <c r="G2289" s="429"/>
      <c r="H2289" s="429"/>
      <c r="I2289" s="429"/>
      <c r="J2289" s="429"/>
      <c r="K2289" s="429"/>
      <c r="L2289" s="429"/>
      <c r="M2289" s="429"/>
      <c r="N2289" s="429"/>
      <c r="O2289" s="429"/>
      <c r="P2289" s="429"/>
      <c r="Q2289" s="429"/>
      <c r="R2289" s="429"/>
    </row>
    <row r="2290" spans="1:18" ht="12.75">
      <c r="A2290" s="426" t="s">
        <v>4058</v>
      </c>
      <c r="B2290" s="427"/>
      <c r="C2290" s="427"/>
      <c r="D2290" s="427"/>
      <c r="E2290" s="427"/>
      <c r="F2290" s="427"/>
      <c r="G2290" s="427"/>
      <c r="H2290" s="427"/>
      <c r="I2290" s="427"/>
      <c r="J2290" s="427"/>
      <c r="K2290" s="427"/>
      <c r="L2290" s="427"/>
      <c r="M2290" s="427"/>
      <c r="N2290" s="427"/>
      <c r="O2290" s="427"/>
      <c r="P2290" s="427"/>
      <c r="Q2290" s="427"/>
      <c r="R2290" s="427"/>
    </row>
    <row r="2291" spans="1:18" ht="24">
      <c r="A2291" s="339">
        <v>66.099999999999994</v>
      </c>
      <c r="B2291" s="334" t="s">
        <v>4059</v>
      </c>
      <c r="C2291" s="340" t="s">
        <v>4060</v>
      </c>
      <c r="D2291" s="341">
        <v>731.25</v>
      </c>
      <c r="E2291" s="341">
        <v>731.25</v>
      </c>
      <c r="F2291" s="341"/>
      <c r="G2291" s="341"/>
      <c r="H2291" s="342">
        <v>9543.09</v>
      </c>
      <c r="I2291" s="342">
        <f>9543.09</f>
        <v>9543.09</v>
      </c>
      <c r="J2291" s="342"/>
      <c r="K2291" s="342"/>
      <c r="L2291" s="357">
        <f>IF(731.25=0, "-", 9543.09/731.25)</f>
        <v>13.050379487179487</v>
      </c>
      <c r="M2291" s="357">
        <v>13.05</v>
      </c>
      <c r="N2291" s="357" t="str">
        <f t="shared" ref="N2291:O2295" si="0">IF(0=0, "-", 0/0)</f>
        <v>-</v>
      </c>
      <c r="O2291" s="357" t="str">
        <f t="shared" si="0"/>
        <v>-</v>
      </c>
      <c r="P2291" s="343"/>
      <c r="Q2291" s="343"/>
      <c r="R2291" s="343">
        <f ca="1">IF(ISERROR(VALUE(TRIM(INDIRECT(ADDRESS(ROW()-1, COLUMN(A2289)))))), INDIRECT(ADDRESS(ROW()-2, COLUMN(R2289)))+1, INDIRECT(ADDRESS(ROW()-1, COLUMN(R2289))))</f>
        <v>1</v>
      </c>
    </row>
    <row r="2292" spans="1:18" ht="24">
      <c r="A2292" s="339">
        <v>66.2</v>
      </c>
      <c r="B2292" s="334" t="s">
        <v>4061</v>
      </c>
      <c r="C2292" s="340" t="s">
        <v>4062</v>
      </c>
      <c r="D2292" s="341">
        <v>863.03</v>
      </c>
      <c r="E2292" s="341">
        <v>863.03</v>
      </c>
      <c r="F2292" s="341"/>
      <c r="G2292" s="341"/>
      <c r="H2292" s="342">
        <v>11262.94</v>
      </c>
      <c r="I2292" s="342">
        <f>11262.94</f>
        <v>11262.94</v>
      </c>
      <c r="J2292" s="342"/>
      <c r="K2292" s="342"/>
      <c r="L2292" s="357">
        <f>IF(863.03=0, "-", 11262.94/863.03)</f>
        <v>13.0504617452464</v>
      </c>
      <c r="M2292" s="357">
        <v>13.05</v>
      </c>
      <c r="N2292" s="357" t="str">
        <f t="shared" si="0"/>
        <v>-</v>
      </c>
      <c r="O2292" s="357" t="str">
        <f t="shared" si="0"/>
        <v>-</v>
      </c>
      <c r="P2292" s="343"/>
      <c r="Q2292" s="343"/>
      <c r="R2292" s="343">
        <f ca="1">IF(ISERROR(VALUE(TRIM(INDIRECT(ADDRESS(ROW()-1, COLUMN(A2289)))))), INDIRECT(ADDRESS(ROW()-2, COLUMN(R2289)))+1, INDIRECT(ADDRESS(ROW()-1, COLUMN(R2289))))</f>
        <v>1</v>
      </c>
    </row>
    <row r="2293" spans="1:18" ht="24">
      <c r="A2293" s="339">
        <v>66.3</v>
      </c>
      <c r="B2293" s="334" t="s">
        <v>4063</v>
      </c>
      <c r="C2293" s="340" t="s">
        <v>4064</v>
      </c>
      <c r="D2293" s="341">
        <v>1165.56</v>
      </c>
      <c r="E2293" s="341">
        <v>1165.56</v>
      </c>
      <c r="F2293" s="341"/>
      <c r="G2293" s="341"/>
      <c r="H2293" s="342">
        <v>15211.05</v>
      </c>
      <c r="I2293" s="342">
        <f>15211.05</f>
        <v>15211.05</v>
      </c>
      <c r="J2293" s="342"/>
      <c r="K2293" s="342"/>
      <c r="L2293" s="357">
        <f>IF(1165.56=0, "-", 15211.05/1165.56)</f>
        <v>13.050422114691651</v>
      </c>
      <c r="M2293" s="357">
        <v>13.05</v>
      </c>
      <c r="N2293" s="357" t="str">
        <f t="shared" si="0"/>
        <v>-</v>
      </c>
      <c r="O2293" s="357" t="str">
        <f t="shared" si="0"/>
        <v>-</v>
      </c>
      <c r="P2293" s="343"/>
      <c r="Q2293" s="343"/>
      <c r="R2293" s="343">
        <f ca="1">IF(ISERROR(VALUE(TRIM(INDIRECT(ADDRESS(ROW()-1, COLUMN(A2289)))))), INDIRECT(ADDRESS(ROW()-2, COLUMN(R2289)))+1, INDIRECT(ADDRESS(ROW()-1, COLUMN(R2289))))</f>
        <v>1</v>
      </c>
    </row>
    <row r="2294" spans="1:18" ht="24">
      <c r="A2294" s="339">
        <v>66.400000000000006</v>
      </c>
      <c r="B2294" s="334" t="s">
        <v>4065</v>
      </c>
      <c r="C2294" s="340" t="s">
        <v>4066</v>
      </c>
      <c r="D2294" s="341">
        <v>1239.19</v>
      </c>
      <c r="E2294" s="341">
        <v>1239.19</v>
      </c>
      <c r="F2294" s="341"/>
      <c r="G2294" s="341"/>
      <c r="H2294" s="342">
        <v>16171.92</v>
      </c>
      <c r="I2294" s="342">
        <f>16171.92</f>
        <v>16171.92</v>
      </c>
      <c r="J2294" s="342"/>
      <c r="K2294" s="342"/>
      <c r="L2294" s="357">
        <f>IF(1239.19=0, "-", 16171.92/1239.19)</f>
        <v>13.050395823077977</v>
      </c>
      <c r="M2294" s="357">
        <v>13.05</v>
      </c>
      <c r="N2294" s="357" t="str">
        <f t="shared" si="0"/>
        <v>-</v>
      </c>
      <c r="O2294" s="357" t="str">
        <f t="shared" si="0"/>
        <v>-</v>
      </c>
      <c r="P2294" s="343"/>
      <c r="Q2294" s="343"/>
      <c r="R2294" s="343">
        <f ca="1">IF(ISERROR(VALUE(TRIM(INDIRECT(ADDRESS(ROW()-1, COLUMN(A2289)))))), INDIRECT(ADDRESS(ROW()-2, COLUMN(R2289)))+1, INDIRECT(ADDRESS(ROW()-1, COLUMN(R2289))))</f>
        <v>1</v>
      </c>
    </row>
    <row r="2295" spans="1:18" ht="24">
      <c r="A2295" s="339">
        <v>66.5</v>
      </c>
      <c r="B2295" s="334" t="s">
        <v>4067</v>
      </c>
      <c r="C2295" s="340" t="s">
        <v>4068</v>
      </c>
      <c r="D2295" s="341">
        <v>1383.37</v>
      </c>
      <c r="E2295" s="341">
        <v>1383.37</v>
      </c>
      <c r="F2295" s="341"/>
      <c r="G2295" s="341"/>
      <c r="H2295" s="342">
        <v>18053.54</v>
      </c>
      <c r="I2295" s="342">
        <f>18053.54</f>
        <v>18053.54</v>
      </c>
      <c r="J2295" s="342"/>
      <c r="K2295" s="342"/>
      <c r="L2295" s="357">
        <f>IF(1383.37=0, "-", 18053.54/1383.37)</f>
        <v>13.050405892855853</v>
      </c>
      <c r="M2295" s="357">
        <v>13.05</v>
      </c>
      <c r="N2295" s="357" t="str">
        <f t="shared" si="0"/>
        <v>-</v>
      </c>
      <c r="O2295" s="357" t="str">
        <f t="shared" si="0"/>
        <v>-</v>
      </c>
      <c r="P2295" s="343"/>
      <c r="Q2295" s="343"/>
      <c r="R2295" s="343">
        <f ca="1">IF(ISERROR(VALUE(TRIM(INDIRECT(ADDRESS(ROW()-1, COLUMN(A2289)))))), INDIRECT(ADDRESS(ROW()-2, COLUMN(R2289)))+1, INDIRECT(ADDRESS(ROW()-1, COLUMN(R2289))))</f>
        <v>1</v>
      </c>
    </row>
    <row r="2296" spans="1:18" ht="12.75">
      <c r="A2296" s="426" t="s">
        <v>4069</v>
      </c>
      <c r="B2296" s="427"/>
      <c r="C2296" s="427"/>
      <c r="D2296" s="427"/>
      <c r="E2296" s="427"/>
      <c r="F2296" s="427"/>
      <c r="G2296" s="427"/>
      <c r="H2296" s="427"/>
      <c r="I2296" s="427"/>
      <c r="J2296" s="427"/>
      <c r="K2296" s="427"/>
      <c r="L2296" s="427"/>
      <c r="M2296" s="427"/>
      <c r="N2296" s="427"/>
      <c r="O2296" s="427"/>
      <c r="P2296" s="427"/>
      <c r="Q2296" s="427"/>
      <c r="R2296" s="427"/>
    </row>
    <row r="2297" spans="1:18" ht="24">
      <c r="A2297" s="339">
        <v>66.599999999999994</v>
      </c>
      <c r="B2297" s="334" t="s">
        <v>4070</v>
      </c>
      <c r="C2297" s="340" t="s">
        <v>4071</v>
      </c>
      <c r="D2297" s="341">
        <v>814.38</v>
      </c>
      <c r="E2297" s="341">
        <v>814.38</v>
      </c>
      <c r="F2297" s="341"/>
      <c r="G2297" s="341"/>
      <c r="H2297" s="342">
        <v>10628.03</v>
      </c>
      <c r="I2297" s="342">
        <f>10628.03</f>
        <v>10628.03</v>
      </c>
      <c r="J2297" s="342"/>
      <c r="K2297" s="342"/>
      <c r="L2297" s="357">
        <f>IF(814.38=0, "-", 10628.03/814.38)</f>
        <v>13.050455561285887</v>
      </c>
      <c r="M2297" s="357">
        <v>13.05</v>
      </c>
      <c r="N2297" s="357" t="str">
        <f t="shared" ref="N2297:O2302" si="1">IF(0=0, "-", 0/0)</f>
        <v>-</v>
      </c>
      <c r="O2297" s="357" t="str">
        <f t="shared" si="1"/>
        <v>-</v>
      </c>
      <c r="P2297" s="343"/>
      <c r="Q2297" s="343"/>
      <c r="R2297" s="343">
        <f ca="1">IF(ISERROR(VALUE(TRIM(INDIRECT(ADDRESS(ROW()-1, COLUMN(A2289)))))), INDIRECT(ADDRESS(ROW()-2, COLUMN(R2289)))+1, INDIRECT(ADDRESS(ROW()-1, COLUMN(R2289))))</f>
        <v>2</v>
      </c>
    </row>
    <row r="2298" spans="1:18" ht="24">
      <c r="A2298" s="339">
        <v>66.7</v>
      </c>
      <c r="B2298" s="334" t="s">
        <v>4072</v>
      </c>
      <c r="C2298" s="340" t="s">
        <v>4073</v>
      </c>
      <c r="D2298" s="341">
        <v>1216.17</v>
      </c>
      <c r="E2298" s="341">
        <v>1216.17</v>
      </c>
      <c r="F2298" s="341"/>
      <c r="G2298" s="341"/>
      <c r="H2298" s="342">
        <v>15871.5</v>
      </c>
      <c r="I2298" s="342">
        <f>15871.5</f>
        <v>15871.5</v>
      </c>
      <c r="J2298" s="342"/>
      <c r="K2298" s="342"/>
      <c r="L2298" s="357">
        <f>IF(1216.17=0, "-", 15871.5/1216.17)</f>
        <v>13.050395915044771</v>
      </c>
      <c r="M2298" s="357">
        <v>13.05</v>
      </c>
      <c r="N2298" s="357" t="str">
        <f t="shared" si="1"/>
        <v>-</v>
      </c>
      <c r="O2298" s="357" t="str">
        <f t="shared" si="1"/>
        <v>-</v>
      </c>
      <c r="P2298" s="343"/>
      <c r="Q2298" s="343"/>
      <c r="R2298" s="343">
        <f ca="1">IF(ISERROR(VALUE(TRIM(INDIRECT(ADDRESS(ROW()-1, COLUMN(A2289)))))), INDIRECT(ADDRESS(ROW()-2, COLUMN(R2289)))+1, INDIRECT(ADDRESS(ROW()-1, COLUMN(R2289))))</f>
        <v>2</v>
      </c>
    </row>
    <row r="2299" spans="1:18" ht="24">
      <c r="A2299" s="339">
        <v>66.8</v>
      </c>
      <c r="B2299" s="334" t="s">
        <v>4074</v>
      </c>
      <c r="C2299" s="340" t="s">
        <v>4075</v>
      </c>
      <c r="D2299" s="341">
        <v>1648.34</v>
      </c>
      <c r="E2299" s="341">
        <v>1648.34</v>
      </c>
      <c r="F2299" s="341"/>
      <c r="G2299" s="341"/>
      <c r="H2299" s="342">
        <v>21511.48</v>
      </c>
      <c r="I2299" s="342">
        <f>21511.48</f>
        <v>21511.48</v>
      </c>
      <c r="J2299" s="342"/>
      <c r="K2299" s="342"/>
      <c r="L2299" s="357">
        <f>IF(1648.34=0, "-", 21511.48/1648.34)</f>
        <v>13.050390089423299</v>
      </c>
      <c r="M2299" s="357">
        <v>13.05</v>
      </c>
      <c r="N2299" s="357" t="str">
        <f t="shared" si="1"/>
        <v>-</v>
      </c>
      <c r="O2299" s="357" t="str">
        <f t="shared" si="1"/>
        <v>-</v>
      </c>
      <c r="P2299" s="343"/>
      <c r="Q2299" s="343"/>
      <c r="R2299" s="343">
        <f ca="1">IF(ISERROR(VALUE(TRIM(INDIRECT(ADDRESS(ROW()-1, COLUMN(A2289)))))), INDIRECT(ADDRESS(ROW()-2, COLUMN(R2289)))+1, INDIRECT(ADDRESS(ROW()-1, COLUMN(R2289))))</f>
        <v>2</v>
      </c>
    </row>
    <row r="2300" spans="1:18" ht="24">
      <c r="A2300" s="339">
        <v>66.900000000000006</v>
      </c>
      <c r="B2300" s="334" t="s">
        <v>4076</v>
      </c>
      <c r="C2300" s="340" t="s">
        <v>4077</v>
      </c>
      <c r="D2300" s="341">
        <v>1311.6</v>
      </c>
      <c r="E2300" s="341">
        <v>1311.6</v>
      </c>
      <c r="F2300" s="341"/>
      <c r="G2300" s="341"/>
      <c r="H2300" s="342">
        <v>17116.990000000002</v>
      </c>
      <c r="I2300" s="342">
        <f>17116.99</f>
        <v>17116.990000000002</v>
      </c>
      <c r="J2300" s="342"/>
      <c r="K2300" s="342"/>
      <c r="L2300" s="357">
        <f>IF(1311.6=0, "-", 17116.99/1311.6)</f>
        <v>13.050465080817325</v>
      </c>
      <c r="M2300" s="357">
        <v>13.05</v>
      </c>
      <c r="N2300" s="357" t="str">
        <f t="shared" si="1"/>
        <v>-</v>
      </c>
      <c r="O2300" s="357" t="str">
        <f t="shared" si="1"/>
        <v>-</v>
      </c>
      <c r="P2300" s="343"/>
      <c r="Q2300" s="343"/>
      <c r="R2300" s="343">
        <f ca="1">IF(ISERROR(VALUE(TRIM(INDIRECT(ADDRESS(ROW()-1, COLUMN(A2289)))))), INDIRECT(ADDRESS(ROW()-2, COLUMN(R2289)))+1, INDIRECT(ADDRESS(ROW()-1, COLUMN(R2289))))</f>
        <v>2</v>
      </c>
    </row>
    <row r="2301" spans="1:18" ht="24">
      <c r="A2301" s="339">
        <v>66.099999999999994</v>
      </c>
      <c r="B2301" s="334" t="s">
        <v>4078</v>
      </c>
      <c r="C2301" s="340" t="s">
        <v>4079</v>
      </c>
      <c r="D2301" s="341">
        <v>1403.69</v>
      </c>
      <c r="E2301" s="341">
        <v>1403.69</v>
      </c>
      <c r="F2301" s="341"/>
      <c r="G2301" s="341"/>
      <c r="H2301" s="342">
        <v>18318.689999999999</v>
      </c>
      <c r="I2301" s="342">
        <f>18318.69</f>
        <v>18318.689999999999</v>
      </c>
      <c r="J2301" s="342"/>
      <c r="K2301" s="342"/>
      <c r="L2301" s="357">
        <f>IF(1403.69=0, "-", 18318.69/1403.69)</f>
        <v>13.050381494489523</v>
      </c>
      <c r="M2301" s="357">
        <v>13.05</v>
      </c>
      <c r="N2301" s="357" t="str">
        <f t="shared" si="1"/>
        <v>-</v>
      </c>
      <c r="O2301" s="357" t="str">
        <f t="shared" si="1"/>
        <v>-</v>
      </c>
      <c r="P2301" s="343"/>
      <c r="Q2301" s="343"/>
      <c r="R2301" s="343">
        <f ca="1">IF(ISERROR(VALUE(TRIM(INDIRECT(ADDRESS(ROW()-1, COLUMN(A2289)))))), INDIRECT(ADDRESS(ROW()-2, COLUMN(R2289)))+1, INDIRECT(ADDRESS(ROW()-1, COLUMN(R2289))))</f>
        <v>2</v>
      </c>
    </row>
    <row r="2302" spans="1:18" ht="24">
      <c r="A2302" s="339">
        <v>66.11</v>
      </c>
      <c r="B2302" s="334" t="s">
        <v>4080</v>
      </c>
      <c r="C2302" s="340" t="s">
        <v>4081</v>
      </c>
      <c r="D2302" s="341">
        <v>1687.57</v>
      </c>
      <c r="E2302" s="341">
        <v>1687.57</v>
      </c>
      <c r="F2302" s="341"/>
      <c r="G2302" s="341"/>
      <c r="H2302" s="342">
        <v>22023.54</v>
      </c>
      <c r="I2302" s="342">
        <f>22023.54</f>
        <v>22023.54</v>
      </c>
      <c r="J2302" s="342"/>
      <c r="K2302" s="342"/>
      <c r="L2302" s="357">
        <f>IF(1687.57=0, "-", 22023.54/1687.57)</f>
        <v>13.050445314861014</v>
      </c>
      <c r="M2302" s="357">
        <v>13.05</v>
      </c>
      <c r="N2302" s="357" t="str">
        <f t="shared" si="1"/>
        <v>-</v>
      </c>
      <c r="O2302" s="357" t="str">
        <f t="shared" si="1"/>
        <v>-</v>
      </c>
      <c r="P2302" s="343"/>
      <c r="Q2302" s="343"/>
      <c r="R2302" s="343">
        <f ca="1">IF(ISERROR(VALUE(TRIM(INDIRECT(ADDRESS(ROW()-1, COLUMN(A2289)))))), INDIRECT(ADDRESS(ROW()-2, COLUMN(R2289)))+1, INDIRECT(ADDRESS(ROW()-1, COLUMN(R2289))))</f>
        <v>2</v>
      </c>
    </row>
    <row r="2303" spans="1:18" ht="12.75">
      <c r="A2303" s="426" t="s">
        <v>4082</v>
      </c>
      <c r="B2303" s="427"/>
      <c r="C2303" s="427"/>
      <c r="D2303" s="427"/>
      <c r="E2303" s="427"/>
      <c r="F2303" s="427"/>
      <c r="G2303" s="427"/>
      <c r="H2303" s="427"/>
      <c r="I2303" s="427"/>
      <c r="J2303" s="427"/>
      <c r="K2303" s="427"/>
      <c r="L2303" s="427"/>
      <c r="M2303" s="427"/>
      <c r="N2303" s="427"/>
      <c r="O2303" s="427"/>
      <c r="P2303" s="427"/>
      <c r="Q2303" s="427"/>
      <c r="R2303" s="427"/>
    </row>
    <row r="2304" spans="1:18" ht="36">
      <c r="A2304" s="339">
        <v>66.12</v>
      </c>
      <c r="B2304" s="334" t="s">
        <v>4083</v>
      </c>
      <c r="C2304" s="340" t="s">
        <v>4084</v>
      </c>
      <c r="D2304" s="341">
        <v>60.02</v>
      </c>
      <c r="E2304" s="341">
        <v>60.02</v>
      </c>
      <c r="F2304" s="341"/>
      <c r="G2304" s="341"/>
      <c r="H2304" s="342">
        <v>783.3</v>
      </c>
      <c r="I2304" s="342">
        <f>783.3</f>
        <v>783.3</v>
      </c>
      <c r="J2304" s="342"/>
      <c r="K2304" s="342"/>
      <c r="L2304" s="357">
        <f>IF(60.02=0, "-", 783.3/60.02)</f>
        <v>13.050649783405531</v>
      </c>
      <c r="M2304" s="357">
        <v>13.05</v>
      </c>
      <c r="N2304" s="357" t="str">
        <f>IF(0=0, "-", 0/0)</f>
        <v>-</v>
      </c>
      <c r="O2304" s="357" t="str">
        <f>IF(0=0, "-", 0/0)</f>
        <v>-</v>
      </c>
      <c r="P2304" s="343"/>
      <c r="Q2304" s="343"/>
      <c r="R2304" s="343">
        <f ca="1">IF(ISERROR(VALUE(TRIM(INDIRECT(ADDRESS(ROW()-1, COLUMN(A2289)))))), INDIRECT(ADDRESS(ROW()-2, COLUMN(R2289)))+1, INDIRECT(ADDRESS(ROW()-1, COLUMN(R2289))))</f>
        <v>3</v>
      </c>
    </row>
    <row r="2305" spans="1:18" ht="36">
      <c r="A2305" s="339">
        <v>66.13</v>
      </c>
      <c r="B2305" s="334" t="s">
        <v>4085</v>
      </c>
      <c r="C2305" s="340" t="s">
        <v>4086</v>
      </c>
      <c r="D2305" s="341">
        <v>106.25</v>
      </c>
      <c r="E2305" s="341">
        <v>106.25</v>
      </c>
      <c r="F2305" s="341"/>
      <c r="G2305" s="341"/>
      <c r="H2305" s="342">
        <v>1386.58</v>
      </c>
      <c r="I2305" s="342">
        <f>1386.58</f>
        <v>1386.58</v>
      </c>
      <c r="J2305" s="342"/>
      <c r="K2305" s="342"/>
      <c r="L2305" s="357">
        <f>IF(106.25=0, "-", 1386.58/106.25)</f>
        <v>13.050164705882352</v>
      </c>
      <c r="M2305" s="357">
        <v>13.05</v>
      </c>
      <c r="N2305" s="357" t="str">
        <f>IF(0=0, "-", 0/0)</f>
        <v>-</v>
      </c>
      <c r="O2305" s="357" t="str">
        <f>IF(0=0, "-", 0/0)</f>
        <v>-</v>
      </c>
      <c r="P2305" s="343"/>
      <c r="Q2305" s="343"/>
      <c r="R2305" s="343">
        <f ca="1">IF(ISERROR(VALUE(TRIM(INDIRECT(ADDRESS(ROW()-1, COLUMN(A2289)))))), INDIRECT(ADDRESS(ROW()-2, COLUMN(R2289)))+1, INDIRECT(ADDRESS(ROW()-1, COLUMN(R2289))))</f>
        <v>3</v>
      </c>
    </row>
    <row r="2306" spans="1:18" ht="12.75">
      <c r="A2306" s="426" t="s">
        <v>4087</v>
      </c>
      <c r="B2306" s="427"/>
      <c r="C2306" s="427"/>
      <c r="D2306" s="427"/>
      <c r="E2306" s="427"/>
      <c r="F2306" s="427"/>
      <c r="G2306" s="427"/>
      <c r="H2306" s="427"/>
      <c r="I2306" s="427"/>
      <c r="J2306" s="427"/>
      <c r="K2306" s="427"/>
      <c r="L2306" s="427"/>
      <c r="M2306" s="427"/>
      <c r="N2306" s="427"/>
      <c r="O2306" s="427"/>
      <c r="P2306" s="427"/>
      <c r="Q2306" s="427"/>
      <c r="R2306" s="427"/>
    </row>
    <row r="2307" spans="1:18" ht="24">
      <c r="A2307" s="339">
        <v>66.14</v>
      </c>
      <c r="B2307" s="334" t="s">
        <v>4088</v>
      </c>
      <c r="C2307" s="340" t="s">
        <v>4087</v>
      </c>
      <c r="D2307" s="341">
        <v>20.77</v>
      </c>
      <c r="E2307" s="341">
        <v>5.75</v>
      </c>
      <c r="F2307" s="341">
        <v>9.2100000000000009</v>
      </c>
      <c r="G2307" s="341">
        <v>5.81</v>
      </c>
      <c r="H2307" s="342">
        <v>179.91</v>
      </c>
      <c r="I2307" s="342">
        <f>75.01</f>
        <v>75.010000000000005</v>
      </c>
      <c r="J2307" s="342">
        <v>66.88</v>
      </c>
      <c r="K2307" s="342">
        <v>38.020000000000003</v>
      </c>
      <c r="L2307" s="357">
        <f>IF(20.77=0, "-", 179.91/20.77)</f>
        <v>8.6620125180548868</v>
      </c>
      <c r="M2307" s="357">
        <v>13.05</v>
      </c>
      <c r="N2307" s="357">
        <f>IF(9.21=0, "-", 66.88/9.21)</f>
        <v>7.2616720955483158</v>
      </c>
      <c r="O2307" s="357">
        <f>IF(5.81=0, "-", 38.02/5.81)</f>
        <v>6.5438898450946654</v>
      </c>
      <c r="P2307" s="343"/>
      <c r="Q2307" s="343"/>
      <c r="R2307" s="343">
        <f ca="1">IF(ISERROR(VALUE(TRIM(INDIRECT(ADDRESS(ROW()-1, COLUMN(A2289)))))), INDIRECT(ADDRESS(ROW()-2, COLUMN(R2289)))+1, INDIRECT(ADDRESS(ROW()-1, COLUMN(R2289))))</f>
        <v>4</v>
      </c>
    </row>
    <row r="2308" spans="1:18" ht="12.75">
      <c r="A2308" s="426" t="s">
        <v>4089</v>
      </c>
      <c r="B2308" s="427"/>
      <c r="C2308" s="427"/>
      <c r="D2308" s="427"/>
      <c r="E2308" s="427"/>
      <c r="F2308" s="427"/>
      <c r="G2308" s="427"/>
      <c r="H2308" s="427"/>
      <c r="I2308" s="427"/>
      <c r="J2308" s="427"/>
      <c r="K2308" s="427"/>
      <c r="L2308" s="427"/>
      <c r="M2308" s="427"/>
      <c r="N2308" s="427"/>
      <c r="O2308" s="427"/>
      <c r="P2308" s="427"/>
      <c r="Q2308" s="427"/>
      <c r="R2308" s="427"/>
    </row>
    <row r="2309" spans="1:18" ht="24">
      <c r="A2309" s="339">
        <v>66.150000000000006</v>
      </c>
      <c r="B2309" s="334" t="s">
        <v>4090</v>
      </c>
      <c r="C2309" s="340" t="s">
        <v>4089</v>
      </c>
      <c r="D2309" s="341">
        <v>1140.5</v>
      </c>
      <c r="E2309" s="341">
        <v>102.51</v>
      </c>
      <c r="F2309" s="341">
        <v>70.47</v>
      </c>
      <c r="G2309" s="341">
        <v>967.52</v>
      </c>
      <c r="H2309" s="342">
        <v>7671.25</v>
      </c>
      <c r="I2309" s="342">
        <f>1337.71</f>
        <v>1337.71</v>
      </c>
      <c r="J2309" s="342">
        <v>595.41999999999996</v>
      </c>
      <c r="K2309" s="342">
        <v>5738.12</v>
      </c>
      <c r="L2309" s="357">
        <f>IF(1140.5=0, "-", 7671.25/1140.5)</f>
        <v>6.726216571679088</v>
      </c>
      <c r="M2309" s="357">
        <v>13.05</v>
      </c>
      <c r="N2309" s="357">
        <f>IF(70.47=0, "-", 595.42/70.47)</f>
        <v>8.4492691925642109</v>
      </c>
      <c r="O2309" s="357">
        <f>IF(967.52=0, "-", 5738.12/967.52)</f>
        <v>5.930750785513478</v>
      </c>
      <c r="P2309" s="343"/>
      <c r="Q2309" s="343"/>
      <c r="R2309" s="343">
        <f ca="1">IF(ISERROR(VALUE(TRIM(INDIRECT(ADDRESS(ROW()-1, COLUMN(A2289)))))), INDIRECT(ADDRESS(ROW()-2, COLUMN(R2289)))+1, INDIRECT(ADDRESS(ROW()-1, COLUMN(R2289))))</f>
        <v>5</v>
      </c>
    </row>
    <row r="2310" spans="1:18" ht="12.75">
      <c r="A2310" s="426" t="s">
        <v>4091</v>
      </c>
      <c r="B2310" s="427"/>
      <c r="C2310" s="427"/>
      <c r="D2310" s="427"/>
      <c r="E2310" s="427"/>
      <c r="F2310" s="427"/>
      <c r="G2310" s="427"/>
      <c r="H2310" s="427"/>
      <c r="I2310" s="427"/>
      <c r="J2310" s="427"/>
      <c r="K2310" s="427"/>
      <c r="L2310" s="427"/>
      <c r="M2310" s="427"/>
      <c r="N2310" s="427"/>
      <c r="O2310" s="427"/>
      <c r="P2310" s="427"/>
      <c r="Q2310" s="427"/>
      <c r="R2310" s="427"/>
    </row>
    <row r="2311" spans="1:18" ht="24">
      <c r="A2311" s="339">
        <v>66.16</v>
      </c>
      <c r="B2311" s="334" t="s">
        <v>4092</v>
      </c>
      <c r="C2311" s="340" t="s">
        <v>4093</v>
      </c>
      <c r="D2311" s="341">
        <v>1989.74</v>
      </c>
      <c r="E2311" s="341">
        <v>295.60000000000002</v>
      </c>
      <c r="F2311" s="341">
        <v>101.29</v>
      </c>
      <c r="G2311" s="341">
        <v>1592.85</v>
      </c>
      <c r="H2311" s="342">
        <v>12907.03</v>
      </c>
      <c r="I2311" s="342">
        <f>3857.65</f>
        <v>3857.65</v>
      </c>
      <c r="J2311" s="342">
        <v>869.18</v>
      </c>
      <c r="K2311" s="342">
        <v>8180.2</v>
      </c>
      <c r="L2311" s="357">
        <f>IF(1989.74=0, "-", 12907.03/1989.74)</f>
        <v>6.4867922442128121</v>
      </c>
      <c r="M2311" s="357">
        <v>13.05</v>
      </c>
      <c r="N2311" s="357">
        <f>IF(101.29=0, "-", 869.18/101.29)</f>
        <v>8.5811037614769461</v>
      </c>
      <c r="O2311" s="357">
        <f>IF(1592.85=0, "-", 8180.2/1592.85)</f>
        <v>5.1355745989892334</v>
      </c>
      <c r="P2311" s="343"/>
      <c r="Q2311" s="343"/>
      <c r="R2311" s="343">
        <f ca="1">IF(ISERROR(VALUE(TRIM(INDIRECT(ADDRESS(ROW()-1, COLUMN(A2289)))))), INDIRECT(ADDRESS(ROW()-2, COLUMN(R2289)))+1, INDIRECT(ADDRESS(ROW()-1, COLUMN(R2289))))</f>
        <v>6</v>
      </c>
    </row>
    <row r="2312" spans="1:18" ht="24">
      <c r="A2312" s="339">
        <v>66.17</v>
      </c>
      <c r="B2312" s="334" t="s">
        <v>4094</v>
      </c>
      <c r="C2312" s="340" t="s">
        <v>4095</v>
      </c>
      <c r="D2312" s="341">
        <v>1921.19</v>
      </c>
      <c r="E2312" s="341">
        <v>227.05</v>
      </c>
      <c r="F2312" s="341">
        <v>101.29</v>
      </c>
      <c r="G2312" s="341">
        <v>1592.85</v>
      </c>
      <c r="H2312" s="342">
        <v>12012.5</v>
      </c>
      <c r="I2312" s="342">
        <f>2963.12</f>
        <v>2963.12</v>
      </c>
      <c r="J2312" s="342">
        <v>869.18</v>
      </c>
      <c r="K2312" s="342">
        <v>8180.2</v>
      </c>
      <c r="L2312" s="357">
        <f>IF(1921.19=0, "-", 12012.5/1921.19)</f>
        <v>6.2526350855459372</v>
      </c>
      <c r="M2312" s="357">
        <v>13.05</v>
      </c>
      <c r="N2312" s="357">
        <f>IF(101.29=0, "-", 869.18/101.29)</f>
        <v>8.5811037614769461</v>
      </c>
      <c r="O2312" s="357">
        <f>IF(1592.85=0, "-", 8180.2/1592.85)</f>
        <v>5.1355745989892334</v>
      </c>
      <c r="P2312" s="343"/>
      <c r="Q2312" s="343"/>
      <c r="R2312" s="343">
        <f ca="1">IF(ISERROR(VALUE(TRIM(INDIRECT(ADDRESS(ROW()-1, COLUMN(A2289)))))), INDIRECT(ADDRESS(ROW()-2, COLUMN(R2289)))+1, INDIRECT(ADDRESS(ROW()-1, COLUMN(R2289))))</f>
        <v>6</v>
      </c>
    </row>
    <row r="2313" spans="1:18" ht="12.75">
      <c r="A2313" s="426" t="s">
        <v>4096</v>
      </c>
      <c r="B2313" s="427"/>
      <c r="C2313" s="427"/>
      <c r="D2313" s="427"/>
      <c r="E2313" s="427"/>
      <c r="F2313" s="427"/>
      <c r="G2313" s="427"/>
      <c r="H2313" s="427"/>
      <c r="I2313" s="427"/>
      <c r="J2313" s="427"/>
      <c r="K2313" s="427"/>
      <c r="L2313" s="427"/>
      <c r="M2313" s="427"/>
      <c r="N2313" s="427"/>
      <c r="O2313" s="427"/>
      <c r="P2313" s="427"/>
      <c r="Q2313" s="427"/>
      <c r="R2313" s="427"/>
    </row>
    <row r="2314" spans="1:18">
      <c r="A2314" s="339">
        <v>66.180000000000007</v>
      </c>
      <c r="B2314" s="334" t="s">
        <v>4097</v>
      </c>
      <c r="C2314" s="340" t="s">
        <v>4096</v>
      </c>
      <c r="D2314" s="341">
        <v>3117.08</v>
      </c>
      <c r="E2314" s="341">
        <v>1904.4</v>
      </c>
      <c r="F2314" s="341"/>
      <c r="G2314" s="341">
        <v>1212.68</v>
      </c>
      <c r="H2314" s="342">
        <v>33047.43</v>
      </c>
      <c r="I2314" s="342">
        <f>24852.6</f>
        <v>24852.6</v>
      </c>
      <c r="J2314" s="342"/>
      <c r="K2314" s="342">
        <v>8194.83</v>
      </c>
      <c r="L2314" s="357">
        <f>IF(3117.08=0, "-", 33047.43/3117.08)</f>
        <v>10.602047429004068</v>
      </c>
      <c r="M2314" s="357">
        <v>13.05</v>
      </c>
      <c r="N2314" s="357" t="str">
        <f>IF(0=0, "-", 0/0)</f>
        <v>-</v>
      </c>
      <c r="O2314" s="357">
        <f>IF(1212.68=0, "-", 8194.83/1212.68)</f>
        <v>6.7576194874163003</v>
      </c>
      <c r="P2314" s="343"/>
      <c r="Q2314" s="343"/>
      <c r="R2314" s="343">
        <f ca="1">IF(ISERROR(VALUE(TRIM(INDIRECT(ADDRESS(ROW()-1, COLUMN(A2289)))))), INDIRECT(ADDRESS(ROW()-2, COLUMN(R2289)))+1, INDIRECT(ADDRESS(ROW()-1, COLUMN(R2289))))</f>
        <v>7</v>
      </c>
    </row>
    <row r="2315" spans="1:18" ht="12.75">
      <c r="A2315" s="426" t="s">
        <v>4098</v>
      </c>
      <c r="B2315" s="427"/>
      <c r="C2315" s="427"/>
      <c r="D2315" s="427"/>
      <c r="E2315" s="427"/>
      <c r="F2315" s="427"/>
      <c r="G2315" s="427"/>
      <c r="H2315" s="427"/>
      <c r="I2315" s="427"/>
      <c r="J2315" s="427"/>
      <c r="K2315" s="427"/>
      <c r="L2315" s="427"/>
      <c r="M2315" s="427"/>
      <c r="N2315" s="427"/>
      <c r="O2315" s="427"/>
      <c r="P2315" s="427"/>
      <c r="Q2315" s="427"/>
      <c r="R2315" s="427"/>
    </row>
    <row r="2316" spans="1:18">
      <c r="A2316" s="339">
        <v>66.19</v>
      </c>
      <c r="B2316" s="334" t="s">
        <v>4099</v>
      </c>
      <c r="C2316" s="340" t="s">
        <v>4098</v>
      </c>
      <c r="D2316" s="341">
        <v>21.36</v>
      </c>
      <c r="E2316" s="341">
        <v>21.36</v>
      </c>
      <c r="F2316" s="341"/>
      <c r="G2316" s="341"/>
      <c r="H2316" s="342">
        <v>278.76</v>
      </c>
      <c r="I2316" s="342">
        <f>278.76</f>
        <v>278.76</v>
      </c>
      <c r="J2316" s="342"/>
      <c r="K2316" s="342"/>
      <c r="L2316" s="357">
        <f>IF(21.36=0, "-", 278.76/21.36)</f>
        <v>13.05056179775281</v>
      </c>
      <c r="M2316" s="357">
        <v>13.05</v>
      </c>
      <c r="N2316" s="357" t="str">
        <f>IF(0=0, "-", 0/0)</f>
        <v>-</v>
      </c>
      <c r="O2316" s="357" t="str">
        <f>IF(0=0, "-", 0/0)</f>
        <v>-</v>
      </c>
      <c r="P2316" s="343"/>
      <c r="Q2316" s="343"/>
      <c r="R2316" s="343">
        <f ca="1">IF(ISERROR(VALUE(TRIM(INDIRECT(ADDRESS(ROW()-1, COLUMN(A2289)))))), INDIRECT(ADDRESS(ROW()-2, COLUMN(R2289)))+1, INDIRECT(ADDRESS(ROW()-1, COLUMN(R2289))))</f>
        <v>8</v>
      </c>
    </row>
    <row r="2317" spans="1:18" ht="12.75">
      <c r="A2317" s="426" t="s">
        <v>4100</v>
      </c>
      <c r="B2317" s="427"/>
      <c r="C2317" s="427"/>
      <c r="D2317" s="427"/>
      <c r="E2317" s="427"/>
      <c r="F2317" s="427"/>
      <c r="G2317" s="427"/>
      <c r="H2317" s="427"/>
      <c r="I2317" s="427"/>
      <c r="J2317" s="427"/>
      <c r="K2317" s="427"/>
      <c r="L2317" s="427"/>
      <c r="M2317" s="427"/>
      <c r="N2317" s="427"/>
      <c r="O2317" s="427"/>
      <c r="P2317" s="427"/>
      <c r="Q2317" s="427"/>
      <c r="R2317" s="427"/>
    </row>
    <row r="2318" spans="1:18" ht="24">
      <c r="A2318" s="339">
        <v>66.2</v>
      </c>
      <c r="B2318" s="334" t="s">
        <v>4101</v>
      </c>
      <c r="C2318" s="340" t="s">
        <v>4102</v>
      </c>
      <c r="D2318" s="341">
        <v>9204.58</v>
      </c>
      <c r="E2318" s="341">
        <v>371.11</v>
      </c>
      <c r="F2318" s="341">
        <v>205.64</v>
      </c>
      <c r="G2318" s="341">
        <v>8627.83</v>
      </c>
      <c r="H2318" s="342">
        <v>62538.49</v>
      </c>
      <c r="I2318" s="342">
        <f>4842.82</f>
        <v>4842.82</v>
      </c>
      <c r="J2318" s="342">
        <v>1466.74</v>
      </c>
      <c r="K2318" s="342">
        <v>56228.93</v>
      </c>
      <c r="L2318" s="357">
        <f>IF(9204.58=0, "-", 62538.49/9204.58)</f>
        <v>6.7942795869013031</v>
      </c>
      <c r="M2318" s="357">
        <v>13.05</v>
      </c>
      <c r="N2318" s="357">
        <f>IF(205.64=0, "-", 1466.74/205.64)</f>
        <v>7.132561758412761</v>
      </c>
      <c r="O2318" s="357">
        <f>IF(8627.83=0, "-", 56228.93/8627.83)</f>
        <v>6.5171578484972468</v>
      </c>
      <c r="P2318" s="343"/>
      <c r="Q2318" s="343"/>
      <c r="R2318" s="343">
        <f ca="1">IF(ISERROR(VALUE(TRIM(INDIRECT(ADDRESS(ROW()-1, COLUMN(A2289)))))), INDIRECT(ADDRESS(ROW()-2, COLUMN(R2289)))+1, INDIRECT(ADDRESS(ROW()-1, COLUMN(R2289))))</f>
        <v>9</v>
      </c>
    </row>
    <row r="2319" spans="1:18" ht="24">
      <c r="A2319" s="339">
        <v>66.209999999999994</v>
      </c>
      <c r="B2319" s="334" t="s">
        <v>4103</v>
      </c>
      <c r="C2319" s="340" t="s">
        <v>4104</v>
      </c>
      <c r="D2319" s="341">
        <v>9403.36</v>
      </c>
      <c r="E2319" s="341">
        <v>431.79</v>
      </c>
      <c r="F2319" s="341">
        <v>343.74</v>
      </c>
      <c r="G2319" s="341">
        <v>8627.83</v>
      </c>
      <c r="H2319" s="342">
        <v>64425.599999999999</v>
      </c>
      <c r="I2319" s="342">
        <f>5634.73</f>
        <v>5634.73</v>
      </c>
      <c r="J2319" s="342">
        <v>2561.94</v>
      </c>
      <c r="K2319" s="342">
        <v>56228.93</v>
      </c>
      <c r="L2319" s="357">
        <f>IF(9403.36=0, "-", 64425.6/9403.36)</f>
        <v>6.8513382450528315</v>
      </c>
      <c r="M2319" s="357">
        <v>13.05</v>
      </c>
      <c r="N2319" s="357">
        <f>IF(343.74=0, "-", 2561.94/343.74)</f>
        <v>7.453133182056205</v>
      </c>
      <c r="O2319" s="357">
        <f>IF(8627.83=0, "-", 56228.93/8627.83)</f>
        <v>6.5171578484972468</v>
      </c>
      <c r="P2319" s="343"/>
      <c r="Q2319" s="343"/>
      <c r="R2319" s="343">
        <f ca="1">IF(ISERROR(VALUE(TRIM(INDIRECT(ADDRESS(ROW()-1, COLUMN(A2289)))))), INDIRECT(ADDRESS(ROW()-2, COLUMN(R2289)))+1, INDIRECT(ADDRESS(ROW()-1, COLUMN(R2289))))</f>
        <v>9</v>
      </c>
    </row>
    <row r="2320" spans="1:18" ht="12.75">
      <c r="A2320" s="426" t="s">
        <v>4105</v>
      </c>
      <c r="B2320" s="427"/>
      <c r="C2320" s="427"/>
      <c r="D2320" s="427"/>
      <c r="E2320" s="427"/>
      <c r="F2320" s="427"/>
      <c r="G2320" s="427"/>
      <c r="H2320" s="427"/>
      <c r="I2320" s="427"/>
      <c r="J2320" s="427"/>
      <c r="K2320" s="427"/>
      <c r="L2320" s="427"/>
      <c r="M2320" s="427"/>
      <c r="N2320" s="427"/>
      <c r="O2320" s="427"/>
      <c r="P2320" s="427"/>
      <c r="Q2320" s="427"/>
      <c r="R2320" s="427"/>
    </row>
    <row r="2321" spans="1:18" ht="24">
      <c r="A2321" s="339">
        <v>66.22</v>
      </c>
      <c r="B2321" s="334" t="s">
        <v>4106</v>
      </c>
      <c r="C2321" s="340" t="s">
        <v>4107</v>
      </c>
      <c r="D2321" s="341">
        <v>48.47</v>
      </c>
      <c r="E2321" s="341">
        <v>48.47</v>
      </c>
      <c r="F2321" s="341"/>
      <c r="G2321" s="341"/>
      <c r="H2321" s="342">
        <v>632.52</v>
      </c>
      <c r="I2321" s="342">
        <f>632.52</f>
        <v>632.52</v>
      </c>
      <c r="J2321" s="342"/>
      <c r="K2321" s="342"/>
      <c r="L2321" s="357">
        <f>IF(48.47=0, "-", 632.52/48.47)</f>
        <v>13.049721477202393</v>
      </c>
      <c r="M2321" s="357">
        <v>13.05</v>
      </c>
      <c r="N2321" s="357" t="str">
        <f t="shared" ref="N2321:O2323" si="2">IF(0=0, "-", 0/0)</f>
        <v>-</v>
      </c>
      <c r="O2321" s="357" t="str">
        <f t="shared" si="2"/>
        <v>-</v>
      </c>
      <c r="P2321" s="343"/>
      <c r="Q2321" s="343"/>
      <c r="R2321" s="343">
        <f ca="1">IF(ISERROR(VALUE(TRIM(INDIRECT(ADDRESS(ROW()-1, COLUMN(A2289)))))), INDIRECT(ADDRESS(ROW()-2, COLUMN(R2289)))+1, INDIRECT(ADDRESS(ROW()-1, COLUMN(R2289))))</f>
        <v>10</v>
      </c>
    </row>
    <row r="2322" spans="1:18" ht="36">
      <c r="A2322" s="339">
        <v>66.23</v>
      </c>
      <c r="B2322" s="334" t="s">
        <v>4108</v>
      </c>
      <c r="C2322" s="340" t="s">
        <v>4109</v>
      </c>
      <c r="D2322" s="341">
        <v>59.02</v>
      </c>
      <c r="E2322" s="341">
        <v>59.02</v>
      </c>
      <c r="F2322" s="341"/>
      <c r="G2322" s="341"/>
      <c r="H2322" s="342">
        <v>770.13</v>
      </c>
      <c r="I2322" s="342">
        <f>770.13</f>
        <v>770.13</v>
      </c>
      <c r="J2322" s="342"/>
      <c r="K2322" s="342"/>
      <c r="L2322" s="357">
        <f>IF(59.02=0, "-", 770.13/59.02)</f>
        <v>13.048627583869873</v>
      </c>
      <c r="M2322" s="357">
        <v>13.05</v>
      </c>
      <c r="N2322" s="357" t="str">
        <f t="shared" si="2"/>
        <v>-</v>
      </c>
      <c r="O2322" s="357" t="str">
        <f t="shared" si="2"/>
        <v>-</v>
      </c>
      <c r="P2322" s="343"/>
      <c r="Q2322" s="343"/>
      <c r="R2322" s="343">
        <f ca="1">IF(ISERROR(VALUE(TRIM(INDIRECT(ADDRESS(ROW()-1, COLUMN(A2289)))))), INDIRECT(ADDRESS(ROW()-2, COLUMN(R2289)))+1, INDIRECT(ADDRESS(ROW()-1, COLUMN(R2289))))</f>
        <v>10</v>
      </c>
    </row>
    <row r="2323" spans="1:18" ht="24">
      <c r="A2323" s="339">
        <v>66.239999999999995</v>
      </c>
      <c r="B2323" s="334" t="s">
        <v>4110</v>
      </c>
      <c r="C2323" s="340" t="s">
        <v>4111</v>
      </c>
      <c r="D2323" s="341">
        <v>39.96</v>
      </c>
      <c r="E2323" s="341">
        <v>39.96</v>
      </c>
      <c r="F2323" s="341"/>
      <c r="G2323" s="341"/>
      <c r="H2323" s="342">
        <v>521.47</v>
      </c>
      <c r="I2323" s="342">
        <f>521.47</f>
        <v>521.47</v>
      </c>
      <c r="J2323" s="342"/>
      <c r="K2323" s="342"/>
      <c r="L2323" s="357">
        <f>IF(39.96=0, "-", 521.47/39.96)</f>
        <v>13.0497997997998</v>
      </c>
      <c r="M2323" s="357">
        <v>13.05</v>
      </c>
      <c r="N2323" s="357" t="str">
        <f t="shared" si="2"/>
        <v>-</v>
      </c>
      <c r="O2323" s="357" t="str">
        <f t="shared" si="2"/>
        <v>-</v>
      </c>
      <c r="P2323" s="343"/>
      <c r="Q2323" s="343"/>
      <c r="R2323" s="343">
        <f ca="1">IF(ISERROR(VALUE(TRIM(INDIRECT(ADDRESS(ROW()-1, COLUMN(A2289)))))), INDIRECT(ADDRESS(ROW()-2, COLUMN(R2289)))+1, INDIRECT(ADDRESS(ROW()-1, COLUMN(R2289))))</f>
        <v>10</v>
      </c>
    </row>
    <row r="2324" spans="1:18" ht="24">
      <c r="A2324" s="339">
        <v>66.25</v>
      </c>
      <c r="B2324" s="334" t="s">
        <v>4112</v>
      </c>
      <c r="C2324" s="340" t="s">
        <v>4113</v>
      </c>
      <c r="D2324" s="341">
        <v>64.010000000000005</v>
      </c>
      <c r="E2324" s="341">
        <v>60.87</v>
      </c>
      <c r="F2324" s="341">
        <v>3.14</v>
      </c>
      <c r="G2324" s="341"/>
      <c r="H2324" s="342">
        <v>809.01</v>
      </c>
      <c r="I2324" s="342">
        <f>794.27</f>
        <v>794.27</v>
      </c>
      <c r="J2324" s="342">
        <v>14.74</v>
      </c>
      <c r="K2324" s="342"/>
      <c r="L2324" s="357">
        <f>IF(64.01=0, "-", 809.01/64.01)</f>
        <v>12.638806436494297</v>
      </c>
      <c r="M2324" s="357">
        <v>13.05</v>
      </c>
      <c r="N2324" s="357">
        <f>IF(3.14=0, "-", 14.74/3.14)</f>
        <v>4.6942675159235669</v>
      </c>
      <c r="O2324" s="357" t="str">
        <f>IF(0=0, "-", 0/0)</f>
        <v>-</v>
      </c>
      <c r="P2324" s="343"/>
      <c r="Q2324" s="343"/>
      <c r="R2324" s="343">
        <f ca="1">IF(ISERROR(VALUE(TRIM(INDIRECT(ADDRESS(ROW()-1, COLUMN(A2289)))))), INDIRECT(ADDRESS(ROW()-2, COLUMN(R2289)))+1, INDIRECT(ADDRESS(ROW()-1, COLUMN(R2289))))</f>
        <v>10</v>
      </c>
    </row>
    <row r="2325" spans="1:18" ht="36">
      <c r="A2325" s="339">
        <v>66.260000000000005</v>
      </c>
      <c r="B2325" s="334" t="s">
        <v>4114</v>
      </c>
      <c r="C2325" s="340" t="s">
        <v>4115</v>
      </c>
      <c r="D2325" s="341">
        <v>78.010000000000005</v>
      </c>
      <c r="E2325" s="341">
        <v>74.19</v>
      </c>
      <c r="F2325" s="341">
        <v>3.82</v>
      </c>
      <c r="G2325" s="341"/>
      <c r="H2325" s="342">
        <v>986.02</v>
      </c>
      <c r="I2325" s="342">
        <f>968.09</f>
        <v>968.09</v>
      </c>
      <c r="J2325" s="342">
        <v>17.93</v>
      </c>
      <c r="K2325" s="342"/>
      <c r="L2325" s="357">
        <f>IF(78.01=0, "-", 986.02/78.01)</f>
        <v>12.639661581848481</v>
      </c>
      <c r="M2325" s="357">
        <v>13.05</v>
      </c>
      <c r="N2325" s="357">
        <f>IF(3.82=0, "-", 17.93/3.82)</f>
        <v>4.6937172774869111</v>
      </c>
      <c r="O2325" s="357" t="str">
        <f>IF(0=0, "-", 0/0)</f>
        <v>-</v>
      </c>
      <c r="P2325" s="343"/>
      <c r="Q2325" s="343"/>
      <c r="R2325" s="343">
        <f ca="1">IF(ISERROR(VALUE(TRIM(INDIRECT(ADDRESS(ROW()-1, COLUMN(A2289)))))), INDIRECT(ADDRESS(ROW()-2, COLUMN(R2289)))+1, INDIRECT(ADDRESS(ROW()-1, COLUMN(R2289))))</f>
        <v>10</v>
      </c>
    </row>
    <row r="2326" spans="1:18" ht="24">
      <c r="A2326" s="339">
        <v>66.27</v>
      </c>
      <c r="B2326" s="334" t="s">
        <v>4116</v>
      </c>
      <c r="C2326" s="340" t="s">
        <v>4117</v>
      </c>
      <c r="D2326" s="341">
        <v>53.01</v>
      </c>
      <c r="E2326" s="341">
        <v>50.41</v>
      </c>
      <c r="F2326" s="341">
        <v>2.6</v>
      </c>
      <c r="G2326" s="341"/>
      <c r="H2326" s="342">
        <v>670.07</v>
      </c>
      <c r="I2326" s="342">
        <f>657.87</f>
        <v>657.87</v>
      </c>
      <c r="J2326" s="342">
        <v>12.2</v>
      </c>
      <c r="K2326" s="342"/>
      <c r="L2326" s="357">
        <f>IF(53.01=0, "-", 670.07/53.01)</f>
        <v>12.640445199019055</v>
      </c>
      <c r="M2326" s="357">
        <v>13.05</v>
      </c>
      <c r="N2326" s="357">
        <f>IF(2.6=0, "-", 12.2/2.6)</f>
        <v>4.6923076923076916</v>
      </c>
      <c r="O2326" s="357" t="str">
        <f>IF(0=0, "-", 0/0)</f>
        <v>-</v>
      </c>
      <c r="P2326" s="343"/>
      <c r="Q2326" s="343"/>
      <c r="R2326" s="343">
        <f ca="1">IF(ISERROR(VALUE(TRIM(INDIRECT(ADDRESS(ROW()-1, COLUMN(A2289)))))), INDIRECT(ADDRESS(ROW()-2, COLUMN(R2289)))+1, INDIRECT(ADDRESS(ROW()-1, COLUMN(R2289))))</f>
        <v>10</v>
      </c>
    </row>
    <row r="2327" spans="1:18" ht="12.75">
      <c r="A2327" s="426" t="s">
        <v>4118</v>
      </c>
      <c r="B2327" s="427"/>
      <c r="C2327" s="427"/>
      <c r="D2327" s="427"/>
      <c r="E2327" s="427"/>
      <c r="F2327" s="427"/>
      <c r="G2327" s="427"/>
      <c r="H2327" s="427"/>
      <c r="I2327" s="427"/>
      <c r="J2327" s="427"/>
      <c r="K2327" s="427"/>
      <c r="L2327" s="427"/>
      <c r="M2327" s="427"/>
      <c r="N2327" s="427"/>
      <c r="O2327" s="427"/>
      <c r="P2327" s="427"/>
      <c r="Q2327" s="427"/>
      <c r="R2327" s="427"/>
    </row>
    <row r="2328" spans="1:18" ht="36">
      <c r="A2328" s="339">
        <v>66.28</v>
      </c>
      <c r="B2328" s="334" t="s">
        <v>4119</v>
      </c>
      <c r="C2328" s="340" t="s">
        <v>4120</v>
      </c>
      <c r="D2328" s="341">
        <v>45.6</v>
      </c>
      <c r="E2328" s="341">
        <v>45.6</v>
      </c>
      <c r="F2328" s="341"/>
      <c r="G2328" s="341"/>
      <c r="H2328" s="342">
        <v>595.1</v>
      </c>
      <c r="I2328" s="342">
        <f>595.1</f>
        <v>595.1</v>
      </c>
      <c r="J2328" s="342"/>
      <c r="K2328" s="342"/>
      <c r="L2328" s="357">
        <f>IF(45.6=0, "-", 595.1/45.6)</f>
        <v>13.050438596491228</v>
      </c>
      <c r="M2328" s="357">
        <v>13.05</v>
      </c>
      <c r="N2328" s="357" t="str">
        <f t="shared" ref="N2328:O2347" si="3">IF(0=0, "-", 0/0)</f>
        <v>-</v>
      </c>
      <c r="O2328" s="357" t="str">
        <f t="shared" si="3"/>
        <v>-</v>
      </c>
      <c r="P2328" s="343"/>
      <c r="Q2328" s="343"/>
      <c r="R2328" s="343">
        <f ca="1">IF(ISERROR(VALUE(TRIM(INDIRECT(ADDRESS(ROW()-1, COLUMN(A2289)))))), INDIRECT(ADDRESS(ROW()-2, COLUMN(R2289)))+1, INDIRECT(ADDRESS(ROW()-1, COLUMN(R2289))))</f>
        <v>11</v>
      </c>
    </row>
    <row r="2329" spans="1:18" ht="36">
      <c r="A2329" s="339">
        <v>66.290000000000006</v>
      </c>
      <c r="B2329" s="334" t="s">
        <v>4121</v>
      </c>
      <c r="C2329" s="340" t="s">
        <v>4122</v>
      </c>
      <c r="D2329" s="341">
        <v>55.13</v>
      </c>
      <c r="E2329" s="341">
        <v>55.13</v>
      </c>
      <c r="F2329" s="341"/>
      <c r="G2329" s="341"/>
      <c r="H2329" s="342">
        <v>719.43</v>
      </c>
      <c r="I2329" s="342">
        <f>719.43</f>
        <v>719.43</v>
      </c>
      <c r="J2329" s="342"/>
      <c r="K2329" s="342"/>
      <c r="L2329" s="357">
        <f>IF(55.13=0, "-", 719.43/55.13)</f>
        <v>13.049700707418827</v>
      </c>
      <c r="M2329" s="357">
        <v>13.05</v>
      </c>
      <c r="N2329" s="357" t="str">
        <f t="shared" si="3"/>
        <v>-</v>
      </c>
      <c r="O2329" s="357" t="str">
        <f t="shared" si="3"/>
        <v>-</v>
      </c>
      <c r="P2329" s="343"/>
      <c r="Q2329" s="343"/>
      <c r="R2329" s="343">
        <f ca="1">IF(ISERROR(VALUE(TRIM(INDIRECT(ADDRESS(ROW()-1, COLUMN(A2289)))))), INDIRECT(ADDRESS(ROW()-2, COLUMN(R2289)))+1, INDIRECT(ADDRESS(ROW()-1, COLUMN(R2289))))</f>
        <v>11</v>
      </c>
    </row>
    <row r="2330" spans="1:18" ht="36">
      <c r="A2330" s="339">
        <v>66.3</v>
      </c>
      <c r="B2330" s="334" t="s">
        <v>4123</v>
      </c>
      <c r="C2330" s="340" t="s">
        <v>4124</v>
      </c>
      <c r="D2330" s="341">
        <v>67.53</v>
      </c>
      <c r="E2330" s="341">
        <v>67.53</v>
      </c>
      <c r="F2330" s="341"/>
      <c r="G2330" s="341"/>
      <c r="H2330" s="342">
        <v>881.18</v>
      </c>
      <c r="I2330" s="342">
        <f>881.18</f>
        <v>881.18</v>
      </c>
      <c r="J2330" s="342"/>
      <c r="K2330" s="342"/>
      <c r="L2330" s="357">
        <f>IF(67.53=0, "-", 881.18/67.53)</f>
        <v>13.048719087812824</v>
      </c>
      <c r="M2330" s="357">
        <v>13.05</v>
      </c>
      <c r="N2330" s="357" t="str">
        <f t="shared" si="3"/>
        <v>-</v>
      </c>
      <c r="O2330" s="357" t="str">
        <f t="shared" si="3"/>
        <v>-</v>
      </c>
      <c r="P2330" s="343"/>
      <c r="Q2330" s="343"/>
      <c r="R2330" s="343">
        <f ca="1">IF(ISERROR(VALUE(TRIM(INDIRECT(ADDRESS(ROW()-1, COLUMN(A2289)))))), INDIRECT(ADDRESS(ROW()-2, COLUMN(R2289)))+1, INDIRECT(ADDRESS(ROW()-1, COLUMN(R2289))))</f>
        <v>11</v>
      </c>
    </row>
    <row r="2331" spans="1:18" ht="36">
      <c r="A2331" s="339">
        <v>66.31</v>
      </c>
      <c r="B2331" s="334" t="s">
        <v>4125</v>
      </c>
      <c r="C2331" s="340" t="s">
        <v>4126</v>
      </c>
      <c r="D2331" s="341">
        <v>59.02</v>
      </c>
      <c r="E2331" s="341">
        <v>59.02</v>
      </c>
      <c r="F2331" s="341"/>
      <c r="G2331" s="341"/>
      <c r="H2331" s="342">
        <v>770.13</v>
      </c>
      <c r="I2331" s="342">
        <f>770.13</f>
        <v>770.13</v>
      </c>
      <c r="J2331" s="342"/>
      <c r="K2331" s="342"/>
      <c r="L2331" s="357">
        <f>IF(59.02=0, "-", 770.13/59.02)</f>
        <v>13.048627583869873</v>
      </c>
      <c r="M2331" s="357">
        <v>13.05</v>
      </c>
      <c r="N2331" s="357" t="str">
        <f t="shared" si="3"/>
        <v>-</v>
      </c>
      <c r="O2331" s="357" t="str">
        <f t="shared" si="3"/>
        <v>-</v>
      </c>
      <c r="P2331" s="343"/>
      <c r="Q2331" s="343"/>
      <c r="R2331" s="343">
        <f ca="1">IF(ISERROR(VALUE(TRIM(INDIRECT(ADDRESS(ROW()-1, COLUMN(A2289)))))), INDIRECT(ADDRESS(ROW()-2, COLUMN(R2289)))+1, INDIRECT(ADDRESS(ROW()-1, COLUMN(R2289))))</f>
        <v>11</v>
      </c>
    </row>
    <row r="2332" spans="1:18" ht="36">
      <c r="A2332" s="339">
        <v>66.319999999999993</v>
      </c>
      <c r="B2332" s="334" t="s">
        <v>4127</v>
      </c>
      <c r="C2332" s="340" t="s">
        <v>4128</v>
      </c>
      <c r="D2332" s="341">
        <v>88.52</v>
      </c>
      <c r="E2332" s="341">
        <v>88.52</v>
      </c>
      <c r="F2332" s="341"/>
      <c r="G2332" s="341"/>
      <c r="H2332" s="342">
        <v>1155.19</v>
      </c>
      <c r="I2332" s="342">
        <f>1155.19</f>
        <v>1155.19</v>
      </c>
      <c r="J2332" s="342"/>
      <c r="K2332" s="342"/>
      <c r="L2332" s="357">
        <f>IF(88.52=0, "-", 1155.19/88.52)</f>
        <v>13.050045187528243</v>
      </c>
      <c r="M2332" s="357">
        <v>13.05</v>
      </c>
      <c r="N2332" s="357" t="str">
        <f t="shared" si="3"/>
        <v>-</v>
      </c>
      <c r="O2332" s="357" t="str">
        <f t="shared" si="3"/>
        <v>-</v>
      </c>
      <c r="P2332" s="343"/>
      <c r="Q2332" s="343"/>
      <c r="R2332" s="343">
        <f ca="1">IF(ISERROR(VALUE(TRIM(INDIRECT(ADDRESS(ROW()-1, COLUMN(A2289)))))), INDIRECT(ADDRESS(ROW()-2, COLUMN(R2289)))+1, INDIRECT(ADDRESS(ROW()-1, COLUMN(R2289))))</f>
        <v>11</v>
      </c>
    </row>
    <row r="2333" spans="1:18" ht="36">
      <c r="A2333" s="339">
        <v>66.33</v>
      </c>
      <c r="B2333" s="334" t="s">
        <v>4129</v>
      </c>
      <c r="C2333" s="340" t="s">
        <v>4130</v>
      </c>
      <c r="D2333" s="341">
        <v>65.680000000000007</v>
      </c>
      <c r="E2333" s="341">
        <v>65.680000000000007</v>
      </c>
      <c r="F2333" s="341"/>
      <c r="G2333" s="341"/>
      <c r="H2333" s="342">
        <v>857.04</v>
      </c>
      <c r="I2333" s="342">
        <f>857.04</f>
        <v>857.04</v>
      </c>
      <c r="J2333" s="342"/>
      <c r="K2333" s="342"/>
      <c r="L2333" s="357">
        <f>IF(65.68=0, "-", 857.04/65.68)</f>
        <v>13.048721071863579</v>
      </c>
      <c r="M2333" s="357">
        <v>13.05</v>
      </c>
      <c r="N2333" s="357" t="str">
        <f t="shared" si="3"/>
        <v>-</v>
      </c>
      <c r="O2333" s="357" t="str">
        <f t="shared" si="3"/>
        <v>-</v>
      </c>
      <c r="P2333" s="343"/>
      <c r="Q2333" s="343"/>
      <c r="R2333" s="343">
        <f ca="1">IF(ISERROR(VALUE(TRIM(INDIRECT(ADDRESS(ROW()-1, COLUMN(A2289)))))), INDIRECT(ADDRESS(ROW()-2, COLUMN(R2289)))+1, INDIRECT(ADDRESS(ROW()-1, COLUMN(R2289))))</f>
        <v>11</v>
      </c>
    </row>
    <row r="2334" spans="1:18" ht="36">
      <c r="A2334" s="339">
        <v>66.34</v>
      </c>
      <c r="B2334" s="334" t="s">
        <v>4131</v>
      </c>
      <c r="C2334" s="340" t="s">
        <v>4132</v>
      </c>
      <c r="D2334" s="341">
        <v>79.92</v>
      </c>
      <c r="E2334" s="341">
        <v>79.92</v>
      </c>
      <c r="F2334" s="341"/>
      <c r="G2334" s="341"/>
      <c r="H2334" s="342">
        <v>1042.93</v>
      </c>
      <c r="I2334" s="342">
        <f>1042.93</f>
        <v>1042.93</v>
      </c>
      <c r="J2334" s="342"/>
      <c r="K2334" s="342"/>
      <c r="L2334" s="357">
        <f>IF(79.92=0, "-", 1042.93/79.92)</f>
        <v>13.049674674674675</v>
      </c>
      <c r="M2334" s="357">
        <v>13.05</v>
      </c>
      <c r="N2334" s="357" t="str">
        <f t="shared" si="3"/>
        <v>-</v>
      </c>
      <c r="O2334" s="357" t="str">
        <f t="shared" si="3"/>
        <v>-</v>
      </c>
      <c r="P2334" s="343"/>
      <c r="Q2334" s="343"/>
      <c r="R2334" s="343">
        <f ca="1">IF(ISERROR(VALUE(TRIM(INDIRECT(ADDRESS(ROW()-1, COLUMN(A2289)))))), INDIRECT(ADDRESS(ROW()-2, COLUMN(R2289)))+1, INDIRECT(ADDRESS(ROW()-1, COLUMN(R2289))))</f>
        <v>11</v>
      </c>
    </row>
    <row r="2335" spans="1:18" ht="36">
      <c r="A2335" s="339">
        <v>66.349999999999994</v>
      </c>
      <c r="B2335" s="334" t="s">
        <v>4133</v>
      </c>
      <c r="C2335" s="340" t="s">
        <v>4134</v>
      </c>
      <c r="D2335" s="341">
        <v>98.05</v>
      </c>
      <c r="E2335" s="341">
        <v>98.05</v>
      </c>
      <c r="F2335" s="341"/>
      <c r="G2335" s="341"/>
      <c r="H2335" s="342">
        <v>1279.53</v>
      </c>
      <c r="I2335" s="342">
        <f>1279.53</f>
        <v>1279.53</v>
      </c>
      <c r="J2335" s="342"/>
      <c r="K2335" s="342"/>
      <c r="L2335" s="357">
        <f>IF(98.05=0, "-", 1279.53/98.05)</f>
        <v>13.049770525242224</v>
      </c>
      <c r="M2335" s="357">
        <v>13.05</v>
      </c>
      <c r="N2335" s="357" t="str">
        <f t="shared" si="3"/>
        <v>-</v>
      </c>
      <c r="O2335" s="357" t="str">
        <f t="shared" si="3"/>
        <v>-</v>
      </c>
      <c r="P2335" s="343"/>
      <c r="Q2335" s="343"/>
      <c r="R2335" s="343">
        <f ca="1">IF(ISERROR(VALUE(TRIM(INDIRECT(ADDRESS(ROW()-1, COLUMN(A2289)))))), INDIRECT(ADDRESS(ROW()-2, COLUMN(R2289)))+1, INDIRECT(ADDRESS(ROW()-1, COLUMN(R2289))))</f>
        <v>11</v>
      </c>
    </row>
    <row r="2336" spans="1:18" ht="36">
      <c r="A2336" s="339">
        <v>66.36</v>
      </c>
      <c r="B2336" s="334" t="s">
        <v>4135</v>
      </c>
      <c r="C2336" s="340" t="s">
        <v>4136</v>
      </c>
      <c r="D2336" s="341">
        <v>84.73</v>
      </c>
      <c r="E2336" s="341">
        <v>84.73</v>
      </c>
      <c r="F2336" s="341"/>
      <c r="G2336" s="341"/>
      <c r="H2336" s="342">
        <v>1105.7</v>
      </c>
      <c r="I2336" s="342">
        <f>1105.7</f>
        <v>1105.7</v>
      </c>
      <c r="J2336" s="342"/>
      <c r="K2336" s="342"/>
      <c r="L2336" s="357">
        <f>IF(84.73=0, "-", 1105.7/84.73)</f>
        <v>13.04968724182698</v>
      </c>
      <c r="M2336" s="357">
        <v>13.05</v>
      </c>
      <c r="N2336" s="357" t="str">
        <f t="shared" si="3"/>
        <v>-</v>
      </c>
      <c r="O2336" s="357" t="str">
        <f t="shared" si="3"/>
        <v>-</v>
      </c>
      <c r="P2336" s="343"/>
      <c r="Q2336" s="343"/>
      <c r="R2336" s="343">
        <f ca="1">IF(ISERROR(VALUE(TRIM(INDIRECT(ADDRESS(ROW()-1, COLUMN(A2289)))))), INDIRECT(ADDRESS(ROW()-2, COLUMN(R2289)))+1, INDIRECT(ADDRESS(ROW()-1, COLUMN(R2289))))</f>
        <v>11</v>
      </c>
    </row>
    <row r="2337" spans="1:18" ht="36">
      <c r="A2337" s="339">
        <v>66.37</v>
      </c>
      <c r="B2337" s="334" t="s">
        <v>4137</v>
      </c>
      <c r="C2337" s="340" t="s">
        <v>4138</v>
      </c>
      <c r="D2337" s="341">
        <v>129.5</v>
      </c>
      <c r="E2337" s="341">
        <v>129.5</v>
      </c>
      <c r="F2337" s="341"/>
      <c r="G2337" s="341"/>
      <c r="H2337" s="342">
        <v>1689.94</v>
      </c>
      <c r="I2337" s="342">
        <f>1689.94</f>
        <v>1689.94</v>
      </c>
      <c r="J2337" s="342"/>
      <c r="K2337" s="342"/>
      <c r="L2337" s="357">
        <f>IF(129.5=0, "-", 1689.94/129.5)</f>
        <v>13.04972972972973</v>
      </c>
      <c r="M2337" s="357">
        <v>13.05</v>
      </c>
      <c r="N2337" s="357" t="str">
        <f t="shared" si="3"/>
        <v>-</v>
      </c>
      <c r="O2337" s="357" t="str">
        <f t="shared" si="3"/>
        <v>-</v>
      </c>
      <c r="P2337" s="343"/>
      <c r="Q2337" s="343"/>
      <c r="R2337" s="343">
        <f ca="1">IF(ISERROR(VALUE(TRIM(INDIRECT(ADDRESS(ROW()-1, COLUMN(A2289)))))), INDIRECT(ADDRESS(ROW()-2, COLUMN(R2289)))+1, INDIRECT(ADDRESS(ROW()-1, COLUMN(R2289))))</f>
        <v>11</v>
      </c>
    </row>
    <row r="2338" spans="1:18" ht="36">
      <c r="A2338" s="339">
        <v>66.38</v>
      </c>
      <c r="B2338" s="334" t="s">
        <v>4139</v>
      </c>
      <c r="C2338" s="340" t="s">
        <v>4140</v>
      </c>
      <c r="D2338" s="341">
        <v>57.07</v>
      </c>
      <c r="E2338" s="341">
        <v>57.07</v>
      </c>
      <c r="F2338" s="341"/>
      <c r="G2338" s="341"/>
      <c r="H2338" s="342">
        <v>744.78</v>
      </c>
      <c r="I2338" s="342">
        <f>744.78</f>
        <v>744.78</v>
      </c>
      <c r="J2338" s="342"/>
      <c r="K2338" s="342"/>
      <c r="L2338" s="357">
        <f>IF(57.07=0, "-", 744.78/57.07)</f>
        <v>13.050289118626248</v>
      </c>
      <c r="M2338" s="357">
        <v>13.05</v>
      </c>
      <c r="N2338" s="357" t="str">
        <f t="shared" si="3"/>
        <v>-</v>
      </c>
      <c r="O2338" s="357" t="str">
        <f t="shared" si="3"/>
        <v>-</v>
      </c>
      <c r="P2338" s="343"/>
      <c r="Q2338" s="343"/>
      <c r="R2338" s="343">
        <f ca="1">IF(ISERROR(VALUE(TRIM(INDIRECT(ADDRESS(ROW()-1, COLUMN(A2289)))))), INDIRECT(ADDRESS(ROW()-2, COLUMN(R2289)))+1, INDIRECT(ADDRESS(ROW()-1, COLUMN(R2289))))</f>
        <v>11</v>
      </c>
    </row>
    <row r="2339" spans="1:18" ht="36">
      <c r="A2339" s="339">
        <v>66.39</v>
      </c>
      <c r="B2339" s="334" t="s">
        <v>4141</v>
      </c>
      <c r="C2339" s="340" t="s">
        <v>4142</v>
      </c>
      <c r="D2339" s="341">
        <v>69.47</v>
      </c>
      <c r="E2339" s="341">
        <v>69.47</v>
      </c>
      <c r="F2339" s="341"/>
      <c r="G2339" s="341"/>
      <c r="H2339" s="342">
        <v>906.53</v>
      </c>
      <c r="I2339" s="342">
        <f>906.53</f>
        <v>906.53</v>
      </c>
      <c r="J2339" s="342"/>
      <c r="K2339" s="342"/>
      <c r="L2339" s="357">
        <f>IF(69.47=0, "-", 906.53/69.47)</f>
        <v>13.049229883402907</v>
      </c>
      <c r="M2339" s="357">
        <v>13.05</v>
      </c>
      <c r="N2339" s="357" t="str">
        <f t="shared" si="3"/>
        <v>-</v>
      </c>
      <c r="O2339" s="357" t="str">
        <f t="shared" si="3"/>
        <v>-</v>
      </c>
      <c r="P2339" s="343"/>
      <c r="Q2339" s="343"/>
      <c r="R2339" s="343">
        <f ca="1">IF(ISERROR(VALUE(TRIM(INDIRECT(ADDRESS(ROW()-1, COLUMN(A2289)))))), INDIRECT(ADDRESS(ROW()-2, COLUMN(R2289)))+1, INDIRECT(ADDRESS(ROW()-1, COLUMN(R2289))))</f>
        <v>11</v>
      </c>
    </row>
    <row r="2340" spans="1:18" ht="36">
      <c r="A2340" s="339">
        <v>66.400000000000006</v>
      </c>
      <c r="B2340" s="334" t="s">
        <v>4143</v>
      </c>
      <c r="C2340" s="340" t="s">
        <v>4144</v>
      </c>
      <c r="D2340" s="341">
        <v>95.28</v>
      </c>
      <c r="E2340" s="341">
        <v>95.28</v>
      </c>
      <c r="F2340" s="341"/>
      <c r="G2340" s="341"/>
      <c r="H2340" s="342">
        <v>1243.31</v>
      </c>
      <c r="I2340" s="342">
        <f>1243.31</f>
        <v>1243.31</v>
      </c>
      <c r="J2340" s="342"/>
      <c r="K2340" s="342"/>
      <c r="L2340" s="357">
        <f>IF(95.28=0, "-", 1243.31/95.28)</f>
        <v>13.049013434089</v>
      </c>
      <c r="M2340" s="357">
        <v>13.05</v>
      </c>
      <c r="N2340" s="357" t="str">
        <f t="shared" si="3"/>
        <v>-</v>
      </c>
      <c r="O2340" s="357" t="str">
        <f t="shared" si="3"/>
        <v>-</v>
      </c>
      <c r="P2340" s="343"/>
      <c r="Q2340" s="343"/>
      <c r="R2340" s="343">
        <f ca="1">IF(ISERROR(VALUE(TRIM(INDIRECT(ADDRESS(ROW()-1, COLUMN(A2289)))))), INDIRECT(ADDRESS(ROW()-2, COLUMN(R2289)))+1, INDIRECT(ADDRESS(ROW()-1, COLUMN(R2289))))</f>
        <v>11</v>
      </c>
    </row>
    <row r="2341" spans="1:18" ht="36">
      <c r="A2341" s="339">
        <v>66.41</v>
      </c>
      <c r="B2341" s="334" t="s">
        <v>4145</v>
      </c>
      <c r="C2341" s="340" t="s">
        <v>4146</v>
      </c>
      <c r="D2341" s="341">
        <v>75.2</v>
      </c>
      <c r="E2341" s="341">
        <v>75.2</v>
      </c>
      <c r="F2341" s="341"/>
      <c r="G2341" s="341"/>
      <c r="H2341" s="342">
        <v>981.37</v>
      </c>
      <c r="I2341" s="342">
        <f>981.37</f>
        <v>981.37</v>
      </c>
      <c r="J2341" s="342"/>
      <c r="K2341" s="342"/>
      <c r="L2341" s="357">
        <f>IF(75.2=0, "-", 981.37/75.2)</f>
        <v>13.050132978723404</v>
      </c>
      <c r="M2341" s="357">
        <v>13.05</v>
      </c>
      <c r="N2341" s="357" t="str">
        <f t="shared" si="3"/>
        <v>-</v>
      </c>
      <c r="O2341" s="357" t="str">
        <f t="shared" si="3"/>
        <v>-</v>
      </c>
      <c r="P2341" s="343"/>
      <c r="Q2341" s="343"/>
      <c r="R2341" s="343">
        <f ca="1">IF(ISERROR(VALUE(TRIM(INDIRECT(ADDRESS(ROW()-1, COLUMN(A2289)))))), INDIRECT(ADDRESS(ROW()-2, COLUMN(R2289)))+1, INDIRECT(ADDRESS(ROW()-1, COLUMN(R2289))))</f>
        <v>11</v>
      </c>
    </row>
    <row r="2342" spans="1:18" ht="36">
      <c r="A2342" s="339">
        <v>66.42</v>
      </c>
      <c r="B2342" s="334" t="s">
        <v>4147</v>
      </c>
      <c r="C2342" s="340" t="s">
        <v>4148</v>
      </c>
      <c r="D2342" s="341">
        <v>112.85</v>
      </c>
      <c r="E2342" s="341">
        <v>112.85</v>
      </c>
      <c r="F2342" s="341"/>
      <c r="G2342" s="341"/>
      <c r="H2342" s="342">
        <v>1472.66</v>
      </c>
      <c r="I2342" s="342">
        <f>1472.66</f>
        <v>1472.66</v>
      </c>
      <c r="J2342" s="342"/>
      <c r="K2342" s="342"/>
      <c r="L2342" s="357">
        <f>IF(112.85=0, "-", 1472.66/112.85)</f>
        <v>13.049712007089058</v>
      </c>
      <c r="M2342" s="357">
        <v>13.05</v>
      </c>
      <c r="N2342" s="357" t="str">
        <f t="shared" si="3"/>
        <v>-</v>
      </c>
      <c r="O2342" s="357" t="str">
        <f t="shared" si="3"/>
        <v>-</v>
      </c>
      <c r="P2342" s="343"/>
      <c r="Q2342" s="343"/>
      <c r="R2342" s="343">
        <f ca="1">IF(ISERROR(VALUE(TRIM(INDIRECT(ADDRESS(ROW()-1, COLUMN(A2289)))))), INDIRECT(ADDRESS(ROW()-2, COLUMN(R2289)))+1, INDIRECT(ADDRESS(ROW()-1, COLUMN(R2289))))</f>
        <v>11</v>
      </c>
    </row>
    <row r="2343" spans="1:18" ht="36">
      <c r="A2343" s="339">
        <v>66.430000000000007</v>
      </c>
      <c r="B2343" s="334" t="s">
        <v>4149</v>
      </c>
      <c r="C2343" s="340" t="s">
        <v>4150</v>
      </c>
      <c r="D2343" s="341">
        <v>82.79</v>
      </c>
      <c r="E2343" s="341">
        <v>82.79</v>
      </c>
      <c r="F2343" s="341"/>
      <c r="G2343" s="341"/>
      <c r="H2343" s="342">
        <v>1080.3499999999999</v>
      </c>
      <c r="I2343" s="342">
        <f>1080.35</f>
        <v>1080.3499999999999</v>
      </c>
      <c r="J2343" s="342"/>
      <c r="K2343" s="342"/>
      <c r="L2343" s="357">
        <f>IF(82.79=0, "-", 1080.35/82.79)</f>
        <v>13.049281314168375</v>
      </c>
      <c r="M2343" s="357">
        <v>13.05</v>
      </c>
      <c r="N2343" s="357" t="str">
        <f t="shared" si="3"/>
        <v>-</v>
      </c>
      <c r="O2343" s="357" t="str">
        <f t="shared" si="3"/>
        <v>-</v>
      </c>
      <c r="P2343" s="343"/>
      <c r="Q2343" s="343"/>
      <c r="R2343" s="343">
        <f ca="1">IF(ISERROR(VALUE(TRIM(INDIRECT(ADDRESS(ROW()-1, COLUMN(A2289)))))), INDIRECT(ADDRESS(ROW()-2, COLUMN(R2289)))+1, INDIRECT(ADDRESS(ROW()-1, COLUMN(R2289))))</f>
        <v>11</v>
      </c>
    </row>
    <row r="2344" spans="1:18" ht="36">
      <c r="A2344" s="339">
        <v>66.44</v>
      </c>
      <c r="B2344" s="334" t="s">
        <v>4151</v>
      </c>
      <c r="C2344" s="340" t="s">
        <v>4152</v>
      </c>
      <c r="D2344" s="341">
        <v>100.83</v>
      </c>
      <c r="E2344" s="341">
        <v>100.83</v>
      </c>
      <c r="F2344" s="341"/>
      <c r="G2344" s="341"/>
      <c r="H2344" s="342">
        <v>1315.74</v>
      </c>
      <c r="I2344" s="342">
        <f>1315.74</f>
        <v>1315.74</v>
      </c>
      <c r="J2344" s="342"/>
      <c r="K2344" s="342"/>
      <c r="L2344" s="357">
        <f>IF(100.83=0, "-", 1315.74/100.83)</f>
        <v>13.049092531984529</v>
      </c>
      <c r="M2344" s="357">
        <v>13.05</v>
      </c>
      <c r="N2344" s="357" t="str">
        <f t="shared" si="3"/>
        <v>-</v>
      </c>
      <c r="O2344" s="357" t="str">
        <f t="shared" si="3"/>
        <v>-</v>
      </c>
      <c r="P2344" s="343"/>
      <c r="Q2344" s="343"/>
      <c r="R2344" s="343">
        <f ca="1">IF(ISERROR(VALUE(TRIM(INDIRECT(ADDRESS(ROW()-1, COLUMN(A2289)))))), INDIRECT(ADDRESS(ROW()-2, COLUMN(R2289)))+1, INDIRECT(ADDRESS(ROW()-1, COLUMN(R2289))))</f>
        <v>11</v>
      </c>
    </row>
    <row r="2345" spans="1:18" ht="36">
      <c r="A2345" s="339">
        <v>66.45</v>
      </c>
      <c r="B2345" s="334" t="s">
        <v>4153</v>
      </c>
      <c r="C2345" s="340" t="s">
        <v>4154</v>
      </c>
      <c r="D2345" s="341">
        <v>125.8</v>
      </c>
      <c r="E2345" s="341">
        <v>125.8</v>
      </c>
      <c r="F2345" s="341"/>
      <c r="G2345" s="341"/>
      <c r="H2345" s="342">
        <v>1641.66</v>
      </c>
      <c r="I2345" s="342">
        <f>1641.66</f>
        <v>1641.66</v>
      </c>
      <c r="J2345" s="342"/>
      <c r="K2345" s="342"/>
      <c r="L2345" s="357">
        <f>IF(125.8=0, "-", 1641.66/125.8)</f>
        <v>13.049761526232116</v>
      </c>
      <c r="M2345" s="357">
        <v>13.05</v>
      </c>
      <c r="N2345" s="357" t="str">
        <f t="shared" si="3"/>
        <v>-</v>
      </c>
      <c r="O2345" s="357" t="str">
        <f t="shared" si="3"/>
        <v>-</v>
      </c>
      <c r="P2345" s="343"/>
      <c r="Q2345" s="343"/>
      <c r="R2345" s="343">
        <f ca="1">IF(ISERROR(VALUE(TRIM(INDIRECT(ADDRESS(ROW()-1, COLUMN(A2289)))))), INDIRECT(ADDRESS(ROW()-2, COLUMN(R2289)))+1, INDIRECT(ADDRESS(ROW()-1, COLUMN(R2289))))</f>
        <v>11</v>
      </c>
    </row>
    <row r="2346" spans="1:18" ht="36">
      <c r="A2346" s="339">
        <v>66.459999999999994</v>
      </c>
      <c r="B2346" s="334" t="s">
        <v>4155</v>
      </c>
      <c r="C2346" s="340" t="s">
        <v>4156</v>
      </c>
      <c r="D2346" s="341">
        <v>109.15</v>
      </c>
      <c r="E2346" s="341">
        <v>109.15</v>
      </c>
      <c r="F2346" s="341"/>
      <c r="G2346" s="341"/>
      <c r="H2346" s="342">
        <v>1424.38</v>
      </c>
      <c r="I2346" s="342">
        <f>1424.38</f>
        <v>1424.38</v>
      </c>
      <c r="J2346" s="342"/>
      <c r="K2346" s="342"/>
      <c r="L2346" s="357">
        <f>IF(109.15=0, "-", 1424.38/109.15)</f>
        <v>13.049748053137884</v>
      </c>
      <c r="M2346" s="357">
        <v>13.05</v>
      </c>
      <c r="N2346" s="357" t="str">
        <f t="shared" si="3"/>
        <v>-</v>
      </c>
      <c r="O2346" s="357" t="str">
        <f t="shared" si="3"/>
        <v>-</v>
      </c>
      <c r="P2346" s="343"/>
      <c r="Q2346" s="343"/>
      <c r="R2346" s="343">
        <f ca="1">IF(ISERROR(VALUE(TRIM(INDIRECT(ADDRESS(ROW()-1, COLUMN(A2289)))))), INDIRECT(ADDRESS(ROW()-2, COLUMN(R2289)))+1, INDIRECT(ADDRESS(ROW()-1, COLUMN(R2289))))</f>
        <v>11</v>
      </c>
    </row>
    <row r="2347" spans="1:18" ht="36">
      <c r="A2347" s="339">
        <v>66.47</v>
      </c>
      <c r="B2347" s="334" t="s">
        <v>4157</v>
      </c>
      <c r="C2347" s="340" t="s">
        <v>4158</v>
      </c>
      <c r="D2347" s="341">
        <v>166.5</v>
      </c>
      <c r="E2347" s="341">
        <v>166.5</v>
      </c>
      <c r="F2347" s="341"/>
      <c r="G2347" s="341"/>
      <c r="H2347" s="342">
        <v>2172.7800000000002</v>
      </c>
      <c r="I2347" s="342">
        <f>2172.78</f>
        <v>2172.7800000000002</v>
      </c>
      <c r="J2347" s="342"/>
      <c r="K2347" s="342"/>
      <c r="L2347" s="357">
        <f>IF(166.5=0, "-", 2172.78/166.5)</f>
        <v>13.04972972972973</v>
      </c>
      <c r="M2347" s="357">
        <v>13.05</v>
      </c>
      <c r="N2347" s="357" t="str">
        <f t="shared" si="3"/>
        <v>-</v>
      </c>
      <c r="O2347" s="357" t="str">
        <f t="shared" si="3"/>
        <v>-</v>
      </c>
      <c r="P2347" s="343"/>
      <c r="Q2347" s="343"/>
      <c r="R2347" s="343">
        <f ca="1">IF(ISERROR(VALUE(TRIM(INDIRECT(ADDRESS(ROW()-1, COLUMN(A2289)))))), INDIRECT(ADDRESS(ROW()-2, COLUMN(R2289)))+1, INDIRECT(ADDRESS(ROW()-1, COLUMN(R2289))))</f>
        <v>11</v>
      </c>
    </row>
    <row r="2348" spans="1:18" ht="12.75">
      <c r="A2348" s="426" t="s">
        <v>4159</v>
      </c>
      <c r="B2348" s="427"/>
      <c r="C2348" s="427"/>
      <c r="D2348" s="427"/>
      <c r="E2348" s="427"/>
      <c r="F2348" s="427"/>
      <c r="G2348" s="427"/>
      <c r="H2348" s="427"/>
      <c r="I2348" s="427"/>
      <c r="J2348" s="427"/>
      <c r="K2348" s="427"/>
      <c r="L2348" s="427"/>
      <c r="M2348" s="427"/>
      <c r="N2348" s="427"/>
      <c r="O2348" s="427"/>
      <c r="P2348" s="427"/>
      <c r="Q2348" s="427"/>
      <c r="R2348" s="427"/>
    </row>
    <row r="2349" spans="1:18" ht="24">
      <c r="A2349" s="339">
        <v>66.48</v>
      </c>
      <c r="B2349" s="334" t="s">
        <v>4160</v>
      </c>
      <c r="C2349" s="340" t="s">
        <v>4161</v>
      </c>
      <c r="D2349" s="341">
        <v>32.28</v>
      </c>
      <c r="E2349" s="341">
        <v>32.28</v>
      </c>
      <c r="F2349" s="341"/>
      <c r="G2349" s="341"/>
      <c r="H2349" s="342">
        <v>421.28</v>
      </c>
      <c r="I2349" s="342">
        <f>421.28</f>
        <v>421.28</v>
      </c>
      <c r="J2349" s="342"/>
      <c r="K2349" s="342"/>
      <c r="L2349" s="357">
        <f>IF(32.28=0, "-", 421.28/32.28)</f>
        <v>13.05080545229244</v>
      </c>
      <c r="M2349" s="357">
        <v>13.05</v>
      </c>
      <c r="N2349" s="357" t="str">
        <f t="shared" ref="N2349:O2356" si="4">IF(0=0, "-", 0/0)</f>
        <v>-</v>
      </c>
      <c r="O2349" s="357" t="str">
        <f t="shared" si="4"/>
        <v>-</v>
      </c>
      <c r="P2349" s="343"/>
      <c r="Q2349" s="343"/>
      <c r="R2349" s="343">
        <f ca="1">IF(ISERROR(VALUE(TRIM(INDIRECT(ADDRESS(ROW()-1, COLUMN(A2289)))))), INDIRECT(ADDRESS(ROW()-2, COLUMN(R2289)))+1, INDIRECT(ADDRESS(ROW()-1, COLUMN(R2289))))</f>
        <v>12</v>
      </c>
    </row>
    <row r="2350" spans="1:18" ht="36">
      <c r="A2350" s="339">
        <v>66.489999999999995</v>
      </c>
      <c r="B2350" s="334" t="s">
        <v>4162</v>
      </c>
      <c r="C2350" s="340" t="s">
        <v>4163</v>
      </c>
      <c r="D2350" s="341">
        <v>44.68</v>
      </c>
      <c r="E2350" s="341">
        <v>44.68</v>
      </c>
      <c r="F2350" s="341"/>
      <c r="G2350" s="341"/>
      <c r="H2350" s="342">
        <v>583.03</v>
      </c>
      <c r="I2350" s="342">
        <f>583.03</f>
        <v>583.03</v>
      </c>
      <c r="J2350" s="342"/>
      <c r="K2350" s="342"/>
      <c r="L2350" s="357">
        <f>IF(44.68=0, "-", 583.03/44.68)</f>
        <v>13.049015219337511</v>
      </c>
      <c r="M2350" s="357">
        <v>13.05</v>
      </c>
      <c r="N2350" s="357" t="str">
        <f t="shared" si="4"/>
        <v>-</v>
      </c>
      <c r="O2350" s="357" t="str">
        <f t="shared" si="4"/>
        <v>-</v>
      </c>
      <c r="P2350" s="343"/>
      <c r="Q2350" s="343"/>
      <c r="R2350" s="343">
        <f ca="1">IF(ISERROR(VALUE(TRIM(INDIRECT(ADDRESS(ROW()-1, COLUMN(A2289)))))), INDIRECT(ADDRESS(ROW()-2, COLUMN(R2289)))+1, INDIRECT(ADDRESS(ROW()-1, COLUMN(R2289))))</f>
        <v>12</v>
      </c>
    </row>
    <row r="2351" spans="1:18" ht="24">
      <c r="A2351" s="339">
        <v>66.5</v>
      </c>
      <c r="B2351" s="334" t="s">
        <v>4164</v>
      </c>
      <c r="C2351" s="340" t="s">
        <v>4165</v>
      </c>
      <c r="D2351" s="341">
        <v>40.89</v>
      </c>
      <c r="E2351" s="341">
        <v>40.89</v>
      </c>
      <c r="F2351" s="341"/>
      <c r="G2351" s="341"/>
      <c r="H2351" s="342">
        <v>533.54</v>
      </c>
      <c r="I2351" s="342">
        <f>533.54</f>
        <v>533.54</v>
      </c>
      <c r="J2351" s="342"/>
      <c r="K2351" s="342"/>
      <c r="L2351" s="357">
        <f>IF(40.89=0, "-", 533.54/40.89)</f>
        <v>13.048178038640254</v>
      </c>
      <c r="M2351" s="357">
        <v>13.05</v>
      </c>
      <c r="N2351" s="357" t="str">
        <f t="shared" si="4"/>
        <v>-</v>
      </c>
      <c r="O2351" s="357" t="str">
        <f t="shared" si="4"/>
        <v>-</v>
      </c>
      <c r="P2351" s="343"/>
      <c r="Q2351" s="343"/>
      <c r="R2351" s="343">
        <f ca="1">IF(ISERROR(VALUE(TRIM(INDIRECT(ADDRESS(ROW()-1, COLUMN(A2289)))))), INDIRECT(ADDRESS(ROW()-2, COLUMN(R2289)))+1, INDIRECT(ADDRESS(ROW()-1, COLUMN(R2289))))</f>
        <v>12</v>
      </c>
    </row>
    <row r="2352" spans="1:18" ht="36">
      <c r="A2352" s="339">
        <v>66.510000000000005</v>
      </c>
      <c r="B2352" s="334" t="s">
        <v>4166</v>
      </c>
      <c r="C2352" s="340" t="s">
        <v>4167</v>
      </c>
      <c r="D2352" s="341">
        <v>58</v>
      </c>
      <c r="E2352" s="341">
        <v>58</v>
      </c>
      <c r="F2352" s="341"/>
      <c r="G2352" s="341"/>
      <c r="H2352" s="342">
        <v>756.85</v>
      </c>
      <c r="I2352" s="342">
        <f>756.85</f>
        <v>756.85</v>
      </c>
      <c r="J2352" s="342"/>
      <c r="K2352" s="342"/>
      <c r="L2352" s="357">
        <f>IF(58=0, "-", 756.85/58)</f>
        <v>13.049137931034483</v>
      </c>
      <c r="M2352" s="357">
        <v>13.05</v>
      </c>
      <c r="N2352" s="357" t="str">
        <f t="shared" si="4"/>
        <v>-</v>
      </c>
      <c r="O2352" s="357" t="str">
        <f t="shared" si="4"/>
        <v>-</v>
      </c>
      <c r="P2352" s="343"/>
      <c r="Q2352" s="343"/>
      <c r="R2352" s="343">
        <f ca="1">IF(ISERROR(VALUE(TRIM(INDIRECT(ADDRESS(ROW()-1, COLUMN(A2289)))))), INDIRECT(ADDRESS(ROW()-2, COLUMN(R2289)))+1, INDIRECT(ADDRESS(ROW()-1, COLUMN(R2289))))</f>
        <v>12</v>
      </c>
    </row>
    <row r="2353" spans="1:18" ht="24">
      <c r="A2353" s="339">
        <v>66.52</v>
      </c>
      <c r="B2353" s="334" t="s">
        <v>4168</v>
      </c>
      <c r="C2353" s="340" t="s">
        <v>4169</v>
      </c>
      <c r="D2353" s="341">
        <v>39.96</v>
      </c>
      <c r="E2353" s="341">
        <v>39.96</v>
      </c>
      <c r="F2353" s="341"/>
      <c r="G2353" s="341"/>
      <c r="H2353" s="342">
        <v>521.47</v>
      </c>
      <c r="I2353" s="342">
        <f>521.47</f>
        <v>521.47</v>
      </c>
      <c r="J2353" s="342"/>
      <c r="K2353" s="342"/>
      <c r="L2353" s="357">
        <f>IF(39.96=0, "-", 521.47/39.96)</f>
        <v>13.0497997997998</v>
      </c>
      <c r="M2353" s="357">
        <v>13.05</v>
      </c>
      <c r="N2353" s="357" t="str">
        <f t="shared" si="4"/>
        <v>-</v>
      </c>
      <c r="O2353" s="357" t="str">
        <f t="shared" si="4"/>
        <v>-</v>
      </c>
      <c r="P2353" s="343"/>
      <c r="Q2353" s="343"/>
      <c r="R2353" s="343">
        <f ca="1">IF(ISERROR(VALUE(TRIM(INDIRECT(ADDRESS(ROW()-1, COLUMN(A2289)))))), INDIRECT(ADDRESS(ROW()-2, COLUMN(R2289)))+1, INDIRECT(ADDRESS(ROW()-1, COLUMN(R2289))))</f>
        <v>12</v>
      </c>
    </row>
    <row r="2354" spans="1:18" ht="36">
      <c r="A2354" s="339">
        <v>66.53</v>
      </c>
      <c r="B2354" s="334" t="s">
        <v>4170</v>
      </c>
      <c r="C2354" s="340" t="s">
        <v>4171</v>
      </c>
      <c r="D2354" s="341">
        <v>56.15</v>
      </c>
      <c r="E2354" s="341">
        <v>56.15</v>
      </c>
      <c r="F2354" s="341"/>
      <c r="G2354" s="341"/>
      <c r="H2354" s="342">
        <v>732.71</v>
      </c>
      <c r="I2354" s="342">
        <f>732.71</f>
        <v>732.71</v>
      </c>
      <c r="J2354" s="342"/>
      <c r="K2354" s="342"/>
      <c r="L2354" s="357">
        <f>IF(56.15=0, "-", 732.71/56.15)</f>
        <v>13.049154051647374</v>
      </c>
      <c r="M2354" s="357">
        <v>13.05</v>
      </c>
      <c r="N2354" s="357" t="str">
        <f t="shared" si="4"/>
        <v>-</v>
      </c>
      <c r="O2354" s="357" t="str">
        <f t="shared" si="4"/>
        <v>-</v>
      </c>
      <c r="P2354" s="343"/>
      <c r="Q2354" s="343"/>
      <c r="R2354" s="343">
        <f ca="1">IF(ISERROR(VALUE(TRIM(INDIRECT(ADDRESS(ROW()-1, COLUMN(A2289)))))), INDIRECT(ADDRESS(ROW()-2, COLUMN(R2289)))+1, INDIRECT(ADDRESS(ROW()-1, COLUMN(R2289))))</f>
        <v>12</v>
      </c>
    </row>
    <row r="2355" spans="1:18" ht="24">
      <c r="A2355" s="339">
        <v>66.540000000000006</v>
      </c>
      <c r="B2355" s="334" t="s">
        <v>4172</v>
      </c>
      <c r="C2355" s="340" t="s">
        <v>4173</v>
      </c>
      <c r="D2355" s="341">
        <v>51.34</v>
      </c>
      <c r="E2355" s="341">
        <v>51.34</v>
      </c>
      <c r="F2355" s="341"/>
      <c r="G2355" s="341"/>
      <c r="H2355" s="342">
        <v>669.94</v>
      </c>
      <c r="I2355" s="342">
        <f>669.94</f>
        <v>669.94</v>
      </c>
      <c r="J2355" s="342"/>
      <c r="K2355" s="342"/>
      <c r="L2355" s="357">
        <f>IF(51.34=0, "-", 669.94/51.34)</f>
        <v>13.049084534476043</v>
      </c>
      <c r="M2355" s="357">
        <v>13.05</v>
      </c>
      <c r="N2355" s="357" t="str">
        <f t="shared" si="4"/>
        <v>-</v>
      </c>
      <c r="O2355" s="357" t="str">
        <f t="shared" si="4"/>
        <v>-</v>
      </c>
      <c r="P2355" s="343"/>
      <c r="Q2355" s="343"/>
      <c r="R2355" s="343">
        <f ca="1">IF(ISERROR(VALUE(TRIM(INDIRECT(ADDRESS(ROW()-1, COLUMN(A2289)))))), INDIRECT(ADDRESS(ROW()-2, COLUMN(R2289)))+1, INDIRECT(ADDRESS(ROW()-1, COLUMN(R2289))))</f>
        <v>12</v>
      </c>
    </row>
    <row r="2356" spans="1:18" ht="36">
      <c r="A2356" s="339">
        <v>66.55</v>
      </c>
      <c r="B2356" s="334" t="s">
        <v>4174</v>
      </c>
      <c r="C2356" s="340" t="s">
        <v>4175</v>
      </c>
      <c r="D2356" s="341">
        <v>73.260000000000005</v>
      </c>
      <c r="E2356" s="341">
        <v>73.260000000000005</v>
      </c>
      <c r="F2356" s="341"/>
      <c r="G2356" s="341"/>
      <c r="H2356" s="342">
        <v>956.02</v>
      </c>
      <c r="I2356" s="342">
        <f>956.02</f>
        <v>956.02</v>
      </c>
      <c r="J2356" s="342"/>
      <c r="K2356" s="342"/>
      <c r="L2356" s="357">
        <f>IF(73.26=0, "-", 956.02/73.26)</f>
        <v>13.049686049686049</v>
      </c>
      <c r="M2356" s="357">
        <v>13.05</v>
      </c>
      <c r="N2356" s="357" t="str">
        <f t="shared" si="4"/>
        <v>-</v>
      </c>
      <c r="O2356" s="357" t="str">
        <f t="shared" si="4"/>
        <v>-</v>
      </c>
      <c r="P2356" s="343"/>
      <c r="Q2356" s="343"/>
      <c r="R2356" s="343">
        <f ca="1">IF(ISERROR(VALUE(TRIM(INDIRECT(ADDRESS(ROW()-1, COLUMN(A2289)))))), INDIRECT(ADDRESS(ROW()-2, COLUMN(R2289)))+1, INDIRECT(ADDRESS(ROW()-1, COLUMN(R2289))))</f>
        <v>12</v>
      </c>
    </row>
    <row r="2357" spans="1:18" ht="12.75">
      <c r="A2357" s="426" t="s">
        <v>4176</v>
      </c>
      <c r="B2357" s="427"/>
      <c r="C2357" s="427"/>
      <c r="D2357" s="427"/>
      <c r="E2357" s="427"/>
      <c r="F2357" s="427"/>
      <c r="G2357" s="427"/>
      <c r="H2357" s="427"/>
      <c r="I2357" s="427"/>
      <c r="J2357" s="427"/>
      <c r="K2357" s="427"/>
      <c r="L2357" s="427"/>
      <c r="M2357" s="427"/>
      <c r="N2357" s="427"/>
      <c r="O2357" s="427"/>
      <c r="P2357" s="427"/>
      <c r="Q2357" s="427"/>
      <c r="R2357" s="427"/>
    </row>
    <row r="2358" spans="1:18" ht="36">
      <c r="A2358" s="339">
        <v>66.56</v>
      </c>
      <c r="B2358" s="334" t="s">
        <v>4177</v>
      </c>
      <c r="C2358" s="340" t="s">
        <v>4178</v>
      </c>
      <c r="D2358" s="341">
        <v>201.06</v>
      </c>
      <c r="E2358" s="341">
        <v>201.06</v>
      </c>
      <c r="F2358" s="341"/>
      <c r="G2358" s="341"/>
      <c r="H2358" s="342">
        <v>2623.82</v>
      </c>
      <c r="I2358" s="342">
        <f>2623.82</f>
        <v>2623.82</v>
      </c>
      <c r="J2358" s="342"/>
      <c r="K2358" s="342"/>
      <c r="L2358" s="357">
        <f>IF(201.06=0, "-", 2623.82/201.06)</f>
        <v>13.049935342683776</v>
      </c>
      <c r="M2358" s="357">
        <v>13.05</v>
      </c>
      <c r="N2358" s="357" t="str">
        <f t="shared" ref="N2358:O2375" si="5">IF(0=0, "-", 0/0)</f>
        <v>-</v>
      </c>
      <c r="O2358" s="357" t="str">
        <f t="shared" si="5"/>
        <v>-</v>
      </c>
      <c r="P2358" s="343"/>
      <c r="Q2358" s="343"/>
      <c r="R2358" s="343">
        <f ca="1">IF(ISERROR(VALUE(TRIM(INDIRECT(ADDRESS(ROW()-1, COLUMN(A2289)))))), INDIRECT(ADDRESS(ROW()-2, COLUMN(R2289)))+1, INDIRECT(ADDRESS(ROW()-1, COLUMN(R2289))))</f>
        <v>13</v>
      </c>
    </row>
    <row r="2359" spans="1:18" ht="36">
      <c r="A2359" s="339">
        <v>66.569999999999993</v>
      </c>
      <c r="B2359" s="334" t="s">
        <v>4179</v>
      </c>
      <c r="C2359" s="340" t="s">
        <v>4180</v>
      </c>
      <c r="D2359" s="341">
        <v>301.58</v>
      </c>
      <c r="E2359" s="341">
        <v>301.58</v>
      </c>
      <c r="F2359" s="341"/>
      <c r="G2359" s="341"/>
      <c r="H2359" s="342">
        <v>3935.73</v>
      </c>
      <c r="I2359" s="342">
        <f>3935.73</f>
        <v>3935.73</v>
      </c>
      <c r="J2359" s="342"/>
      <c r="K2359" s="342"/>
      <c r="L2359" s="357">
        <f>IF(301.58=0, "-", 3935.73/301.58)</f>
        <v>13.050368061542544</v>
      </c>
      <c r="M2359" s="357">
        <v>13.05</v>
      </c>
      <c r="N2359" s="357" t="str">
        <f t="shared" si="5"/>
        <v>-</v>
      </c>
      <c r="O2359" s="357" t="str">
        <f t="shared" si="5"/>
        <v>-</v>
      </c>
      <c r="P2359" s="343"/>
      <c r="Q2359" s="343"/>
      <c r="R2359" s="343">
        <f ca="1">IF(ISERROR(VALUE(TRIM(INDIRECT(ADDRESS(ROW()-1, COLUMN(A2289)))))), INDIRECT(ADDRESS(ROW()-2, COLUMN(R2289)))+1, INDIRECT(ADDRESS(ROW()-1, COLUMN(R2289))))</f>
        <v>13</v>
      </c>
    </row>
    <row r="2360" spans="1:18" ht="36">
      <c r="A2360" s="339">
        <v>66.58</v>
      </c>
      <c r="B2360" s="334" t="s">
        <v>4181</v>
      </c>
      <c r="C2360" s="340" t="s">
        <v>4182</v>
      </c>
      <c r="D2360" s="341">
        <v>502.64</v>
      </c>
      <c r="E2360" s="341">
        <v>502.64</v>
      </c>
      <c r="F2360" s="341"/>
      <c r="G2360" s="341"/>
      <c r="H2360" s="342">
        <v>6559.56</v>
      </c>
      <c r="I2360" s="342">
        <f>6559.56</f>
        <v>6559.56</v>
      </c>
      <c r="J2360" s="342"/>
      <c r="K2360" s="342"/>
      <c r="L2360" s="357">
        <f>IF(502.64=0, "-", 6559.56/502.64)</f>
        <v>13.050214865510108</v>
      </c>
      <c r="M2360" s="357">
        <v>13.05</v>
      </c>
      <c r="N2360" s="357" t="str">
        <f t="shared" si="5"/>
        <v>-</v>
      </c>
      <c r="O2360" s="357" t="str">
        <f t="shared" si="5"/>
        <v>-</v>
      </c>
      <c r="P2360" s="343"/>
      <c r="Q2360" s="343"/>
      <c r="R2360" s="343">
        <f ca="1">IF(ISERROR(VALUE(TRIM(INDIRECT(ADDRESS(ROW()-1, COLUMN(A2289)))))), INDIRECT(ADDRESS(ROW()-2, COLUMN(R2289)))+1, INDIRECT(ADDRESS(ROW()-1, COLUMN(R2289))))</f>
        <v>13</v>
      </c>
    </row>
    <row r="2361" spans="1:18" ht="36">
      <c r="A2361" s="339">
        <v>66.59</v>
      </c>
      <c r="B2361" s="334" t="s">
        <v>4183</v>
      </c>
      <c r="C2361" s="340" t="s">
        <v>4184</v>
      </c>
      <c r="D2361" s="341">
        <v>703.7</v>
      </c>
      <c r="E2361" s="341">
        <v>703.7</v>
      </c>
      <c r="F2361" s="341"/>
      <c r="G2361" s="341"/>
      <c r="H2361" s="342">
        <v>9183.3799999999992</v>
      </c>
      <c r="I2361" s="342">
        <f>9183.38</f>
        <v>9183.3799999999992</v>
      </c>
      <c r="J2361" s="342"/>
      <c r="K2361" s="342"/>
      <c r="L2361" s="357">
        <f>IF(703.7=0, "-", 9183.38/703.7)</f>
        <v>13.050135000710528</v>
      </c>
      <c r="M2361" s="357">
        <v>13.05</v>
      </c>
      <c r="N2361" s="357" t="str">
        <f t="shared" si="5"/>
        <v>-</v>
      </c>
      <c r="O2361" s="357" t="str">
        <f t="shared" si="5"/>
        <v>-</v>
      </c>
      <c r="P2361" s="343"/>
      <c r="Q2361" s="343"/>
      <c r="R2361" s="343">
        <f ca="1">IF(ISERROR(VALUE(TRIM(INDIRECT(ADDRESS(ROW()-1, COLUMN(A2289)))))), INDIRECT(ADDRESS(ROW()-2, COLUMN(R2289)))+1, INDIRECT(ADDRESS(ROW()-1, COLUMN(R2289))))</f>
        <v>13</v>
      </c>
    </row>
    <row r="2362" spans="1:18" ht="36">
      <c r="A2362" s="339">
        <v>66.599999999999994</v>
      </c>
      <c r="B2362" s="334" t="s">
        <v>4185</v>
      </c>
      <c r="C2362" s="340" t="s">
        <v>4186</v>
      </c>
      <c r="D2362" s="341">
        <v>904.75</v>
      </c>
      <c r="E2362" s="341">
        <v>904.75</v>
      </c>
      <c r="F2362" s="341"/>
      <c r="G2362" s="341"/>
      <c r="H2362" s="342">
        <v>11807.2</v>
      </c>
      <c r="I2362" s="342">
        <f>11807.2</f>
        <v>11807.2</v>
      </c>
      <c r="J2362" s="342"/>
      <c r="K2362" s="342"/>
      <c r="L2362" s="357">
        <f>IF(904.75=0, "-", 11807.2/904.75)</f>
        <v>13.050234871511469</v>
      </c>
      <c r="M2362" s="357">
        <v>13.05</v>
      </c>
      <c r="N2362" s="357" t="str">
        <f t="shared" si="5"/>
        <v>-</v>
      </c>
      <c r="O2362" s="357" t="str">
        <f t="shared" si="5"/>
        <v>-</v>
      </c>
      <c r="P2362" s="343"/>
      <c r="Q2362" s="343"/>
      <c r="R2362" s="343">
        <f ca="1">IF(ISERROR(VALUE(TRIM(INDIRECT(ADDRESS(ROW()-1, COLUMN(A2289)))))), INDIRECT(ADDRESS(ROW()-2, COLUMN(R2289)))+1, INDIRECT(ADDRESS(ROW()-1, COLUMN(R2289))))</f>
        <v>13</v>
      </c>
    </row>
    <row r="2363" spans="1:18" ht="36">
      <c r="A2363" s="339">
        <v>66.61</v>
      </c>
      <c r="B2363" s="334" t="s">
        <v>4187</v>
      </c>
      <c r="C2363" s="340" t="s">
        <v>4188</v>
      </c>
      <c r="D2363" s="341">
        <v>1102.8800000000001</v>
      </c>
      <c r="E2363" s="341">
        <v>1102.8800000000001</v>
      </c>
      <c r="F2363" s="341"/>
      <c r="G2363" s="341"/>
      <c r="H2363" s="342">
        <v>14392.81</v>
      </c>
      <c r="I2363" s="342">
        <f>14392.81</f>
        <v>14392.81</v>
      </c>
      <c r="J2363" s="342"/>
      <c r="K2363" s="342"/>
      <c r="L2363" s="357">
        <f>IF(1102.88=0, "-", 14392.81/1102.88)</f>
        <v>13.050204918032785</v>
      </c>
      <c r="M2363" s="357">
        <v>13.05</v>
      </c>
      <c r="N2363" s="357" t="str">
        <f t="shared" si="5"/>
        <v>-</v>
      </c>
      <c r="O2363" s="357" t="str">
        <f t="shared" si="5"/>
        <v>-</v>
      </c>
      <c r="P2363" s="343"/>
      <c r="Q2363" s="343"/>
      <c r="R2363" s="343">
        <f ca="1">IF(ISERROR(VALUE(TRIM(INDIRECT(ADDRESS(ROW()-1, COLUMN(A2289)))))), INDIRECT(ADDRESS(ROW()-2, COLUMN(R2289)))+1, INDIRECT(ADDRESS(ROW()-1, COLUMN(R2289))))</f>
        <v>13</v>
      </c>
    </row>
    <row r="2364" spans="1:18" ht="36">
      <c r="A2364" s="339">
        <v>66.62</v>
      </c>
      <c r="B2364" s="334" t="s">
        <v>4189</v>
      </c>
      <c r="C2364" s="340" t="s">
        <v>4190</v>
      </c>
      <c r="D2364" s="341">
        <v>1307.8399999999999</v>
      </c>
      <c r="E2364" s="341">
        <v>1307.8399999999999</v>
      </c>
      <c r="F2364" s="341"/>
      <c r="G2364" s="341"/>
      <c r="H2364" s="342">
        <v>17067.580000000002</v>
      </c>
      <c r="I2364" s="342">
        <f>17067.58</f>
        <v>17067.580000000002</v>
      </c>
      <c r="J2364" s="342"/>
      <c r="K2364" s="342"/>
      <c r="L2364" s="357">
        <f>IF(1307.84=0, "-", 17067.58/1307.84)</f>
        <v>13.050204918032788</v>
      </c>
      <c r="M2364" s="357">
        <v>13.05</v>
      </c>
      <c r="N2364" s="357" t="str">
        <f t="shared" si="5"/>
        <v>-</v>
      </c>
      <c r="O2364" s="357" t="str">
        <f t="shared" si="5"/>
        <v>-</v>
      </c>
      <c r="P2364" s="343"/>
      <c r="Q2364" s="343"/>
      <c r="R2364" s="343">
        <f ca="1">IF(ISERROR(VALUE(TRIM(INDIRECT(ADDRESS(ROW()-1, COLUMN(A2289)))))), INDIRECT(ADDRESS(ROW()-2, COLUMN(R2289)))+1, INDIRECT(ADDRESS(ROW()-1, COLUMN(R2289))))</f>
        <v>13</v>
      </c>
    </row>
    <row r="2365" spans="1:18" ht="36">
      <c r="A2365" s="339">
        <v>66.63</v>
      </c>
      <c r="B2365" s="334" t="s">
        <v>4191</v>
      </c>
      <c r="C2365" s="340" t="s">
        <v>4192</v>
      </c>
      <c r="D2365" s="341">
        <v>1610.4</v>
      </c>
      <c r="E2365" s="341">
        <v>1610.4</v>
      </c>
      <c r="F2365" s="341"/>
      <c r="G2365" s="341"/>
      <c r="H2365" s="342">
        <v>21016.05</v>
      </c>
      <c r="I2365" s="342">
        <f>21016.05</f>
        <v>21016.05</v>
      </c>
      <c r="J2365" s="342"/>
      <c r="K2365" s="342"/>
      <c r="L2365" s="357">
        <f>IF(1610.4=0, "-", 21016.05/1610.4)</f>
        <v>13.050204918032785</v>
      </c>
      <c r="M2365" s="357">
        <v>13.05</v>
      </c>
      <c r="N2365" s="357" t="str">
        <f t="shared" si="5"/>
        <v>-</v>
      </c>
      <c r="O2365" s="357" t="str">
        <f t="shared" si="5"/>
        <v>-</v>
      </c>
      <c r="P2365" s="343"/>
      <c r="Q2365" s="343"/>
      <c r="R2365" s="343">
        <f ca="1">IF(ISERROR(VALUE(TRIM(INDIRECT(ADDRESS(ROW()-1, COLUMN(A2289)))))), INDIRECT(ADDRESS(ROW()-2, COLUMN(R2289)))+1, INDIRECT(ADDRESS(ROW()-1, COLUMN(R2289))))</f>
        <v>13</v>
      </c>
    </row>
    <row r="2366" spans="1:18" ht="36">
      <c r="A2366" s="339">
        <v>66.64</v>
      </c>
      <c r="B2366" s="334" t="s">
        <v>4193</v>
      </c>
      <c r="C2366" s="340" t="s">
        <v>4194</v>
      </c>
      <c r="D2366" s="341">
        <v>1805.6</v>
      </c>
      <c r="E2366" s="341">
        <v>1805.6</v>
      </c>
      <c r="F2366" s="341"/>
      <c r="G2366" s="341"/>
      <c r="H2366" s="342">
        <v>23563.45</v>
      </c>
      <c r="I2366" s="342">
        <f>23563.45</f>
        <v>23563.45</v>
      </c>
      <c r="J2366" s="342"/>
      <c r="K2366" s="342"/>
      <c r="L2366" s="357">
        <f>IF(1805.6=0, "-", 23563.45/1805.6)</f>
        <v>13.050204918032788</v>
      </c>
      <c r="M2366" s="357">
        <v>13.05</v>
      </c>
      <c r="N2366" s="357" t="str">
        <f t="shared" si="5"/>
        <v>-</v>
      </c>
      <c r="O2366" s="357" t="str">
        <f t="shared" si="5"/>
        <v>-</v>
      </c>
      <c r="P2366" s="343"/>
      <c r="Q2366" s="343"/>
      <c r="R2366" s="343">
        <f ca="1">IF(ISERROR(VALUE(TRIM(INDIRECT(ADDRESS(ROW()-1, COLUMN(A2289)))))), INDIRECT(ADDRESS(ROW()-2, COLUMN(R2289)))+1, INDIRECT(ADDRESS(ROW()-1, COLUMN(R2289))))</f>
        <v>13</v>
      </c>
    </row>
    <row r="2367" spans="1:18" ht="36">
      <c r="A2367" s="339">
        <v>66.650000000000006</v>
      </c>
      <c r="B2367" s="334" t="s">
        <v>4195</v>
      </c>
      <c r="C2367" s="340" t="s">
        <v>4196</v>
      </c>
      <c r="D2367" s="341">
        <v>301.58</v>
      </c>
      <c r="E2367" s="341">
        <v>301.58</v>
      </c>
      <c r="F2367" s="341"/>
      <c r="G2367" s="341"/>
      <c r="H2367" s="342">
        <v>3935.73</v>
      </c>
      <c r="I2367" s="342">
        <f>3935.73</f>
        <v>3935.73</v>
      </c>
      <c r="J2367" s="342"/>
      <c r="K2367" s="342"/>
      <c r="L2367" s="357">
        <f>IF(301.58=0, "-", 3935.73/301.58)</f>
        <v>13.050368061542544</v>
      </c>
      <c r="M2367" s="357">
        <v>13.05</v>
      </c>
      <c r="N2367" s="357" t="str">
        <f t="shared" si="5"/>
        <v>-</v>
      </c>
      <c r="O2367" s="357" t="str">
        <f t="shared" si="5"/>
        <v>-</v>
      </c>
      <c r="P2367" s="343"/>
      <c r="Q2367" s="343"/>
      <c r="R2367" s="343">
        <f ca="1">IF(ISERROR(VALUE(TRIM(INDIRECT(ADDRESS(ROW()-1, COLUMN(A2289)))))), INDIRECT(ADDRESS(ROW()-2, COLUMN(R2289)))+1, INDIRECT(ADDRESS(ROW()-1, COLUMN(R2289))))</f>
        <v>13</v>
      </c>
    </row>
    <row r="2368" spans="1:18" ht="36">
      <c r="A2368" s="339">
        <v>66.66</v>
      </c>
      <c r="B2368" s="334" t="s">
        <v>4197</v>
      </c>
      <c r="C2368" s="340" t="s">
        <v>4198</v>
      </c>
      <c r="D2368" s="341">
        <v>502.64</v>
      </c>
      <c r="E2368" s="341">
        <v>502.64</v>
      </c>
      <c r="F2368" s="341"/>
      <c r="G2368" s="341"/>
      <c r="H2368" s="342">
        <v>6559.56</v>
      </c>
      <c r="I2368" s="342">
        <f>6559.56</f>
        <v>6559.56</v>
      </c>
      <c r="J2368" s="342"/>
      <c r="K2368" s="342"/>
      <c r="L2368" s="357">
        <f>IF(502.64=0, "-", 6559.56/502.64)</f>
        <v>13.050214865510108</v>
      </c>
      <c r="M2368" s="357">
        <v>13.05</v>
      </c>
      <c r="N2368" s="357" t="str">
        <f t="shared" si="5"/>
        <v>-</v>
      </c>
      <c r="O2368" s="357" t="str">
        <f t="shared" si="5"/>
        <v>-</v>
      </c>
      <c r="P2368" s="343"/>
      <c r="Q2368" s="343"/>
      <c r="R2368" s="343">
        <f ca="1">IF(ISERROR(VALUE(TRIM(INDIRECT(ADDRESS(ROW()-1, COLUMN(A2289)))))), INDIRECT(ADDRESS(ROW()-2, COLUMN(R2289)))+1, INDIRECT(ADDRESS(ROW()-1, COLUMN(R2289))))</f>
        <v>13</v>
      </c>
    </row>
    <row r="2369" spans="1:18" ht="36">
      <c r="A2369" s="339">
        <v>66.67</v>
      </c>
      <c r="B2369" s="334" t="s">
        <v>4199</v>
      </c>
      <c r="C2369" s="340" t="s">
        <v>4200</v>
      </c>
      <c r="D2369" s="341">
        <v>703.7</v>
      </c>
      <c r="E2369" s="341">
        <v>703.7</v>
      </c>
      <c r="F2369" s="341"/>
      <c r="G2369" s="341"/>
      <c r="H2369" s="342">
        <v>9183.3799999999992</v>
      </c>
      <c r="I2369" s="342">
        <f>9183.38</f>
        <v>9183.3799999999992</v>
      </c>
      <c r="J2369" s="342"/>
      <c r="K2369" s="342"/>
      <c r="L2369" s="357">
        <f>IF(703.7=0, "-", 9183.38/703.7)</f>
        <v>13.050135000710528</v>
      </c>
      <c r="M2369" s="357">
        <v>13.05</v>
      </c>
      <c r="N2369" s="357" t="str">
        <f t="shared" si="5"/>
        <v>-</v>
      </c>
      <c r="O2369" s="357" t="str">
        <f t="shared" si="5"/>
        <v>-</v>
      </c>
      <c r="P2369" s="343"/>
      <c r="Q2369" s="343"/>
      <c r="R2369" s="343">
        <f ca="1">IF(ISERROR(VALUE(TRIM(INDIRECT(ADDRESS(ROW()-1, COLUMN(A2289)))))), INDIRECT(ADDRESS(ROW()-2, COLUMN(R2289)))+1, INDIRECT(ADDRESS(ROW()-1, COLUMN(R2289))))</f>
        <v>13</v>
      </c>
    </row>
    <row r="2370" spans="1:18" ht="36">
      <c r="A2370" s="339">
        <v>66.680000000000007</v>
      </c>
      <c r="B2370" s="334" t="s">
        <v>4201</v>
      </c>
      <c r="C2370" s="340" t="s">
        <v>4202</v>
      </c>
      <c r="D2370" s="341">
        <v>1005.28</v>
      </c>
      <c r="E2370" s="341">
        <v>1005.28</v>
      </c>
      <c r="F2370" s="341"/>
      <c r="G2370" s="341"/>
      <c r="H2370" s="342">
        <v>13119.11</v>
      </c>
      <c r="I2370" s="342">
        <f>13119.11</f>
        <v>13119.11</v>
      </c>
      <c r="J2370" s="342"/>
      <c r="K2370" s="342"/>
      <c r="L2370" s="357">
        <f>IF(1005.28=0, "-", 13119.11/1005.28)</f>
        <v>13.050204918032788</v>
      </c>
      <c r="M2370" s="357">
        <v>13.05</v>
      </c>
      <c r="N2370" s="357" t="str">
        <f t="shared" si="5"/>
        <v>-</v>
      </c>
      <c r="O2370" s="357" t="str">
        <f t="shared" si="5"/>
        <v>-</v>
      </c>
      <c r="P2370" s="343"/>
      <c r="Q2370" s="343"/>
      <c r="R2370" s="343">
        <f ca="1">IF(ISERROR(VALUE(TRIM(INDIRECT(ADDRESS(ROW()-1, COLUMN(A2289)))))), INDIRECT(ADDRESS(ROW()-2, COLUMN(R2289)))+1, INDIRECT(ADDRESS(ROW()-1, COLUMN(R2289))))</f>
        <v>13</v>
      </c>
    </row>
    <row r="2371" spans="1:18" ht="36">
      <c r="A2371" s="339">
        <v>66.69</v>
      </c>
      <c r="B2371" s="334" t="s">
        <v>4203</v>
      </c>
      <c r="C2371" s="340" t="s">
        <v>4204</v>
      </c>
      <c r="D2371" s="341">
        <v>1307.8399999999999</v>
      </c>
      <c r="E2371" s="341">
        <v>1307.8399999999999</v>
      </c>
      <c r="F2371" s="341"/>
      <c r="G2371" s="341"/>
      <c r="H2371" s="342">
        <v>17067.580000000002</v>
      </c>
      <c r="I2371" s="342">
        <f>17067.58</f>
        <v>17067.580000000002</v>
      </c>
      <c r="J2371" s="342"/>
      <c r="K2371" s="342"/>
      <c r="L2371" s="357">
        <f>IF(1307.84=0, "-", 17067.58/1307.84)</f>
        <v>13.050204918032788</v>
      </c>
      <c r="M2371" s="357">
        <v>13.05</v>
      </c>
      <c r="N2371" s="357" t="str">
        <f t="shared" si="5"/>
        <v>-</v>
      </c>
      <c r="O2371" s="357" t="str">
        <f t="shared" si="5"/>
        <v>-</v>
      </c>
      <c r="P2371" s="343"/>
      <c r="Q2371" s="343"/>
      <c r="R2371" s="343">
        <f ca="1">IF(ISERROR(VALUE(TRIM(INDIRECT(ADDRESS(ROW()-1, COLUMN(A2289)))))), INDIRECT(ADDRESS(ROW()-2, COLUMN(R2289)))+1, INDIRECT(ADDRESS(ROW()-1, COLUMN(R2289))))</f>
        <v>13</v>
      </c>
    </row>
    <row r="2372" spans="1:18" ht="36">
      <c r="A2372" s="339">
        <v>66.7</v>
      </c>
      <c r="B2372" s="334" t="s">
        <v>4205</v>
      </c>
      <c r="C2372" s="340" t="s">
        <v>4206</v>
      </c>
      <c r="D2372" s="341">
        <v>1503.04</v>
      </c>
      <c r="E2372" s="341">
        <v>1503.04</v>
      </c>
      <c r="F2372" s="341"/>
      <c r="G2372" s="341"/>
      <c r="H2372" s="342">
        <v>19614.98</v>
      </c>
      <c r="I2372" s="342">
        <f>19614.98</f>
        <v>19614.98</v>
      </c>
      <c r="J2372" s="342"/>
      <c r="K2372" s="342"/>
      <c r="L2372" s="357">
        <f>IF(1503.04=0, "-", 19614.98/1503.04)</f>
        <v>13.050204918032787</v>
      </c>
      <c r="M2372" s="357">
        <v>13.05</v>
      </c>
      <c r="N2372" s="357" t="str">
        <f t="shared" si="5"/>
        <v>-</v>
      </c>
      <c r="O2372" s="357" t="str">
        <f t="shared" si="5"/>
        <v>-</v>
      </c>
      <c r="P2372" s="343"/>
      <c r="Q2372" s="343"/>
      <c r="R2372" s="343">
        <f ca="1">IF(ISERROR(VALUE(TRIM(INDIRECT(ADDRESS(ROW()-1, COLUMN(A2289)))))), INDIRECT(ADDRESS(ROW()-2, COLUMN(R2289)))+1, INDIRECT(ADDRESS(ROW()-1, COLUMN(R2289))))</f>
        <v>13</v>
      </c>
    </row>
    <row r="2373" spans="1:18" ht="36">
      <c r="A2373" s="339">
        <v>66.709999999999994</v>
      </c>
      <c r="B2373" s="334" t="s">
        <v>4207</v>
      </c>
      <c r="C2373" s="340" t="s">
        <v>4208</v>
      </c>
      <c r="D2373" s="341">
        <v>1708</v>
      </c>
      <c r="E2373" s="341">
        <v>1708</v>
      </c>
      <c r="F2373" s="341"/>
      <c r="G2373" s="341"/>
      <c r="H2373" s="342">
        <v>22289.75</v>
      </c>
      <c r="I2373" s="342">
        <f>22289.75</f>
        <v>22289.75</v>
      </c>
      <c r="J2373" s="342"/>
      <c r="K2373" s="342"/>
      <c r="L2373" s="357">
        <f>IF(1708=0, "-", 22289.75/1708)</f>
        <v>13.050204918032787</v>
      </c>
      <c r="M2373" s="357">
        <v>13.05</v>
      </c>
      <c r="N2373" s="357" t="str">
        <f t="shared" si="5"/>
        <v>-</v>
      </c>
      <c r="O2373" s="357" t="str">
        <f t="shared" si="5"/>
        <v>-</v>
      </c>
      <c r="P2373" s="343"/>
      <c r="Q2373" s="343"/>
      <c r="R2373" s="343">
        <f ca="1">IF(ISERROR(VALUE(TRIM(INDIRECT(ADDRESS(ROW()-1, COLUMN(A2289)))))), INDIRECT(ADDRESS(ROW()-2, COLUMN(R2289)))+1, INDIRECT(ADDRESS(ROW()-1, COLUMN(R2289))))</f>
        <v>13</v>
      </c>
    </row>
    <row r="2374" spans="1:18" ht="36">
      <c r="A2374" s="339">
        <v>66.72</v>
      </c>
      <c r="B2374" s="334" t="s">
        <v>4209</v>
      </c>
      <c r="C2374" s="340" t="s">
        <v>4210</v>
      </c>
      <c r="D2374" s="341">
        <v>2010.56</v>
      </c>
      <c r="E2374" s="341">
        <v>2010.56</v>
      </c>
      <c r="F2374" s="341"/>
      <c r="G2374" s="341"/>
      <c r="H2374" s="342">
        <v>26238.22</v>
      </c>
      <c r="I2374" s="342">
        <f>26238.22</f>
        <v>26238.22</v>
      </c>
      <c r="J2374" s="342"/>
      <c r="K2374" s="342"/>
      <c r="L2374" s="357">
        <f>IF(2010.56=0, "-", 26238.22/2010.56)</f>
        <v>13.050204918032788</v>
      </c>
      <c r="M2374" s="357">
        <v>13.05</v>
      </c>
      <c r="N2374" s="357" t="str">
        <f t="shared" si="5"/>
        <v>-</v>
      </c>
      <c r="O2374" s="357" t="str">
        <f t="shared" si="5"/>
        <v>-</v>
      </c>
      <c r="P2374" s="343"/>
      <c r="Q2374" s="343"/>
      <c r="R2374" s="343">
        <f ca="1">IF(ISERROR(VALUE(TRIM(INDIRECT(ADDRESS(ROW()-1, COLUMN(A2289)))))), INDIRECT(ADDRESS(ROW()-2, COLUMN(R2289)))+1, INDIRECT(ADDRESS(ROW()-1, COLUMN(R2289))))</f>
        <v>13</v>
      </c>
    </row>
    <row r="2375" spans="1:18" ht="36">
      <c r="A2375" s="339">
        <v>66.73</v>
      </c>
      <c r="B2375" s="334" t="s">
        <v>4211</v>
      </c>
      <c r="C2375" s="340" t="s">
        <v>4212</v>
      </c>
      <c r="D2375" s="341">
        <v>2313.12</v>
      </c>
      <c r="E2375" s="341">
        <v>2313.12</v>
      </c>
      <c r="F2375" s="341"/>
      <c r="G2375" s="341"/>
      <c r="H2375" s="342">
        <v>30186.69</v>
      </c>
      <c r="I2375" s="342">
        <f>30186.69</f>
        <v>30186.69</v>
      </c>
      <c r="J2375" s="342"/>
      <c r="K2375" s="342"/>
      <c r="L2375" s="357">
        <f>IF(2313.12=0, "-", 30186.69/2313.12)</f>
        <v>13.050204918032787</v>
      </c>
      <c r="M2375" s="357">
        <v>13.05</v>
      </c>
      <c r="N2375" s="357" t="str">
        <f t="shared" si="5"/>
        <v>-</v>
      </c>
      <c r="O2375" s="357" t="str">
        <f t="shared" si="5"/>
        <v>-</v>
      </c>
      <c r="P2375" s="343"/>
      <c r="Q2375" s="343"/>
      <c r="R2375" s="343">
        <f ca="1">IF(ISERROR(VALUE(TRIM(INDIRECT(ADDRESS(ROW()-1, COLUMN(A2289)))))), INDIRECT(ADDRESS(ROW()-2, COLUMN(R2289)))+1, INDIRECT(ADDRESS(ROW()-1, COLUMN(R2289))))</f>
        <v>13</v>
      </c>
    </row>
    <row r="2376" spans="1:18" ht="12.75">
      <c r="A2376" s="426" t="s">
        <v>4213</v>
      </c>
      <c r="B2376" s="427"/>
      <c r="C2376" s="427"/>
      <c r="D2376" s="427"/>
      <c r="E2376" s="427"/>
      <c r="F2376" s="427"/>
      <c r="G2376" s="427"/>
      <c r="H2376" s="427"/>
      <c r="I2376" s="427"/>
      <c r="J2376" s="427"/>
      <c r="K2376" s="427"/>
      <c r="L2376" s="427"/>
      <c r="M2376" s="427"/>
      <c r="N2376" s="427"/>
      <c r="O2376" s="427"/>
      <c r="P2376" s="427"/>
      <c r="Q2376" s="427"/>
      <c r="R2376" s="427"/>
    </row>
    <row r="2377" spans="1:18" ht="36">
      <c r="A2377" s="339">
        <v>66.739999999999995</v>
      </c>
      <c r="B2377" s="334" t="s">
        <v>4214</v>
      </c>
      <c r="C2377" s="340" t="s">
        <v>4215</v>
      </c>
      <c r="D2377" s="341">
        <v>158.49</v>
      </c>
      <c r="E2377" s="341">
        <v>42.66</v>
      </c>
      <c r="F2377" s="341">
        <v>27.37</v>
      </c>
      <c r="G2377" s="341">
        <v>88.46</v>
      </c>
      <c r="H2377" s="342">
        <v>1034.98</v>
      </c>
      <c r="I2377" s="342">
        <f>556.7</f>
        <v>556.70000000000005</v>
      </c>
      <c r="J2377" s="342">
        <v>162.94999999999999</v>
      </c>
      <c r="K2377" s="342">
        <v>315.33</v>
      </c>
      <c r="L2377" s="357">
        <f>IF(158.49=0, "-", 1034.98/158.49)</f>
        <v>6.530254274717648</v>
      </c>
      <c r="M2377" s="357">
        <v>13.05</v>
      </c>
      <c r="N2377" s="357">
        <f>IF(27.37=0, "-", 162.95/27.37)</f>
        <v>5.9535988308366816</v>
      </c>
      <c r="O2377" s="357">
        <f>IF(88.46=0, "-", 315.33/88.46)</f>
        <v>3.5646619941216371</v>
      </c>
      <c r="P2377" s="343"/>
      <c r="Q2377" s="343"/>
      <c r="R2377" s="343">
        <f ca="1">IF(ISERROR(VALUE(TRIM(INDIRECT(ADDRESS(ROW()-1, COLUMN(A2289)))))), INDIRECT(ADDRESS(ROW()-2, COLUMN(R2289)))+1, INDIRECT(ADDRESS(ROW()-1, COLUMN(R2289))))</f>
        <v>14</v>
      </c>
    </row>
    <row r="2378" spans="1:18" ht="36">
      <c r="A2378" s="339">
        <v>66.75</v>
      </c>
      <c r="B2378" s="334" t="s">
        <v>4216</v>
      </c>
      <c r="C2378" s="340" t="s">
        <v>4217</v>
      </c>
      <c r="D2378" s="341">
        <v>365.89</v>
      </c>
      <c r="E2378" s="341">
        <v>63.99</v>
      </c>
      <c r="F2378" s="341">
        <v>46.69</v>
      </c>
      <c r="G2378" s="341">
        <v>255.21</v>
      </c>
      <c r="H2378" s="342">
        <v>2352.5700000000002</v>
      </c>
      <c r="I2378" s="342">
        <f>835.06</f>
        <v>835.06</v>
      </c>
      <c r="J2378" s="342">
        <v>297.69</v>
      </c>
      <c r="K2378" s="342">
        <v>1219.82</v>
      </c>
      <c r="L2378" s="357">
        <f>IF(365.89=0, "-", 2352.57/365.89)</f>
        <v>6.4297193145480893</v>
      </c>
      <c r="M2378" s="357">
        <v>13.05</v>
      </c>
      <c r="N2378" s="357">
        <f>IF(46.69=0, "-", 297.69/46.69)</f>
        <v>6.3758834868280152</v>
      </c>
      <c r="O2378" s="357">
        <f>IF(255.21=0, "-", 1219.82/255.21)</f>
        <v>4.7796716429606985</v>
      </c>
      <c r="P2378" s="343"/>
      <c r="Q2378" s="343"/>
      <c r="R2378" s="343">
        <f ca="1">IF(ISERROR(VALUE(TRIM(INDIRECT(ADDRESS(ROW()-1, COLUMN(A2289)))))), INDIRECT(ADDRESS(ROW()-2, COLUMN(R2289)))+1, INDIRECT(ADDRESS(ROW()-1, COLUMN(R2289))))</f>
        <v>14</v>
      </c>
    </row>
    <row r="2379" spans="1:18" ht="36">
      <c r="A2379" s="339">
        <v>66.760000000000005</v>
      </c>
      <c r="B2379" s="334" t="s">
        <v>4218</v>
      </c>
      <c r="C2379" s="340" t="s">
        <v>4219</v>
      </c>
      <c r="D2379" s="341">
        <v>658.32</v>
      </c>
      <c r="E2379" s="341">
        <v>95.75</v>
      </c>
      <c r="F2379" s="341">
        <v>101.22</v>
      </c>
      <c r="G2379" s="341">
        <v>461.35</v>
      </c>
      <c r="H2379" s="342">
        <v>3856.44</v>
      </c>
      <c r="I2379" s="342">
        <f>1249.49</f>
        <v>1249.49</v>
      </c>
      <c r="J2379" s="342">
        <v>744.88</v>
      </c>
      <c r="K2379" s="342">
        <v>1862.07</v>
      </c>
      <c r="L2379" s="357">
        <f>IF(658.32=0, "-", 3856.44/658.32)</f>
        <v>5.8580021873860737</v>
      </c>
      <c r="M2379" s="357">
        <v>13.05</v>
      </c>
      <c r="N2379" s="357">
        <f>IF(101.22=0, "-", 744.88/101.22)</f>
        <v>7.3590199565303296</v>
      </c>
      <c r="O2379" s="357">
        <f>IF(461.35=0, "-", 1862.07/461.35)</f>
        <v>4.0361330876774684</v>
      </c>
      <c r="P2379" s="343"/>
      <c r="Q2379" s="343"/>
      <c r="R2379" s="343">
        <f ca="1">IF(ISERROR(VALUE(TRIM(INDIRECT(ADDRESS(ROW()-1, COLUMN(A2289)))))), INDIRECT(ADDRESS(ROW()-2, COLUMN(R2289)))+1, INDIRECT(ADDRESS(ROW()-1, COLUMN(R2289))))</f>
        <v>14</v>
      </c>
    </row>
    <row r="2380" spans="1:18" ht="36">
      <c r="A2380" s="339">
        <v>66.77</v>
      </c>
      <c r="B2380" s="334" t="s">
        <v>4220</v>
      </c>
      <c r="C2380" s="340" t="s">
        <v>4221</v>
      </c>
      <c r="D2380" s="341">
        <v>923.9</v>
      </c>
      <c r="E2380" s="341">
        <v>116.37</v>
      </c>
      <c r="F2380" s="341">
        <v>106.54</v>
      </c>
      <c r="G2380" s="341">
        <v>700.99</v>
      </c>
      <c r="H2380" s="342">
        <v>6601.63</v>
      </c>
      <c r="I2380" s="342">
        <f>1518.56</f>
        <v>1518.56</v>
      </c>
      <c r="J2380" s="342">
        <v>782.03</v>
      </c>
      <c r="K2380" s="342">
        <v>4301.04</v>
      </c>
      <c r="L2380" s="357">
        <f>IF(923.9=0, "-", 6601.63/923.9)</f>
        <v>7.1453945232167984</v>
      </c>
      <c r="M2380" s="357">
        <v>13.05</v>
      </c>
      <c r="N2380" s="357">
        <f>IF(106.54=0, "-", 782.03/106.54)</f>
        <v>7.3402477942556779</v>
      </c>
      <c r="O2380" s="357">
        <f>IF(700.99=0, "-", 4301.04/700.99)</f>
        <v>6.1356652733990495</v>
      </c>
      <c r="P2380" s="343"/>
      <c r="Q2380" s="343"/>
      <c r="R2380" s="343">
        <f ca="1">IF(ISERROR(VALUE(TRIM(INDIRECT(ADDRESS(ROW()-1, COLUMN(A2289)))))), INDIRECT(ADDRESS(ROW()-2, COLUMN(R2289)))+1, INDIRECT(ADDRESS(ROW()-1, COLUMN(R2289))))</f>
        <v>14</v>
      </c>
    </row>
    <row r="2381" spans="1:18" ht="36">
      <c r="A2381" s="339">
        <v>66.78</v>
      </c>
      <c r="B2381" s="334" t="s">
        <v>4222</v>
      </c>
      <c r="C2381" s="340" t="s">
        <v>4223</v>
      </c>
      <c r="D2381" s="341">
        <v>1276.5899999999999</v>
      </c>
      <c r="E2381" s="341">
        <v>155.24</v>
      </c>
      <c r="F2381" s="341">
        <v>129.69999999999999</v>
      </c>
      <c r="G2381" s="341">
        <v>991.65</v>
      </c>
      <c r="H2381" s="342">
        <v>8292</v>
      </c>
      <c r="I2381" s="342">
        <f>2025.78</f>
        <v>2025.78</v>
      </c>
      <c r="J2381" s="342">
        <v>943.55</v>
      </c>
      <c r="K2381" s="342">
        <v>5322.67</v>
      </c>
      <c r="L2381" s="357">
        <f>IF(1276.59=0, "-", 8292/1276.59)</f>
        <v>6.495429229431533</v>
      </c>
      <c r="M2381" s="357">
        <v>13.05</v>
      </c>
      <c r="N2381" s="357">
        <f>IF(129.7=0, "-", 943.55/129.7)</f>
        <v>7.2748650732459526</v>
      </c>
      <c r="O2381" s="357">
        <f>IF(991.65=0, "-", 5322.67/991.65)</f>
        <v>5.3674885292189787</v>
      </c>
      <c r="P2381" s="343"/>
      <c r="Q2381" s="343"/>
      <c r="R2381" s="343">
        <f ca="1">IF(ISERROR(VALUE(TRIM(INDIRECT(ADDRESS(ROW()-1, COLUMN(A2289)))))), INDIRECT(ADDRESS(ROW()-2, COLUMN(R2289)))+1, INDIRECT(ADDRESS(ROW()-1, COLUMN(R2289))))</f>
        <v>14</v>
      </c>
    </row>
    <row r="2382" spans="1:18" ht="36">
      <c r="A2382" s="339">
        <v>66.790000000000006</v>
      </c>
      <c r="B2382" s="334" t="s">
        <v>4224</v>
      </c>
      <c r="C2382" s="340" t="s">
        <v>4225</v>
      </c>
      <c r="D2382" s="341">
        <v>1495.18</v>
      </c>
      <c r="E2382" s="341">
        <v>178.94</v>
      </c>
      <c r="F2382" s="341">
        <v>152.71</v>
      </c>
      <c r="G2382" s="341">
        <v>1163.53</v>
      </c>
      <c r="H2382" s="342">
        <v>11228.25</v>
      </c>
      <c r="I2382" s="342">
        <f>2335.06</f>
        <v>2335.06</v>
      </c>
      <c r="J2382" s="342">
        <v>1103.93</v>
      </c>
      <c r="K2382" s="342">
        <v>7789.26</v>
      </c>
      <c r="L2382" s="357">
        <f>IF(1495.18=0, "-", 11228.25/1495.18)</f>
        <v>7.5096309474444549</v>
      </c>
      <c r="M2382" s="357">
        <v>13.05</v>
      </c>
      <c r="N2382" s="357">
        <f>IF(152.71=0, "-", 1103.93/152.71)</f>
        <v>7.2289306528714556</v>
      </c>
      <c r="O2382" s="357">
        <f>IF(1163.53=0, "-", 7789.26/1163.53)</f>
        <v>6.694507232301703</v>
      </c>
      <c r="P2382" s="343"/>
      <c r="Q2382" s="343"/>
      <c r="R2382" s="343">
        <f ca="1">IF(ISERROR(VALUE(TRIM(INDIRECT(ADDRESS(ROW()-1, COLUMN(A2289)))))), INDIRECT(ADDRESS(ROW()-2, COLUMN(R2289)))+1, INDIRECT(ADDRESS(ROW()-1, COLUMN(R2289))))</f>
        <v>14</v>
      </c>
    </row>
    <row r="2383" spans="1:18" ht="36">
      <c r="A2383" s="339">
        <v>66.8</v>
      </c>
      <c r="B2383" s="334" t="s">
        <v>4226</v>
      </c>
      <c r="C2383" s="340" t="s">
        <v>4227</v>
      </c>
      <c r="D2383" s="341">
        <v>2003.87</v>
      </c>
      <c r="E2383" s="341">
        <v>190.79</v>
      </c>
      <c r="F2383" s="341">
        <v>167.34</v>
      </c>
      <c r="G2383" s="341">
        <v>1645.74</v>
      </c>
      <c r="H2383" s="342">
        <v>13792.59</v>
      </c>
      <c r="I2383" s="342">
        <f>2489.7</f>
        <v>2489.6999999999998</v>
      </c>
      <c r="J2383" s="342">
        <v>1205.98</v>
      </c>
      <c r="K2383" s="342">
        <v>10096.91</v>
      </c>
      <c r="L2383" s="357">
        <f>IF(2003.87=0, "-", 13792.59/2003.87)</f>
        <v>6.8829764405874636</v>
      </c>
      <c r="M2383" s="357">
        <v>13.05</v>
      </c>
      <c r="N2383" s="357">
        <f>IF(167.34=0, "-", 1205.98/167.34)</f>
        <v>7.2067646707302497</v>
      </c>
      <c r="O2383" s="357">
        <f>IF(1645.74=0, "-", 10096.91/1645.74)</f>
        <v>6.1351793114343698</v>
      </c>
      <c r="P2383" s="343"/>
      <c r="Q2383" s="343"/>
      <c r="R2383" s="343">
        <f ca="1">IF(ISERROR(VALUE(TRIM(INDIRECT(ADDRESS(ROW()-1, COLUMN(A2289)))))), INDIRECT(ADDRESS(ROW()-2, COLUMN(R2289)))+1, INDIRECT(ADDRESS(ROW()-1, COLUMN(R2289))))</f>
        <v>14</v>
      </c>
    </row>
    <row r="2384" spans="1:18" ht="36">
      <c r="A2384" s="339">
        <v>66.81</v>
      </c>
      <c r="B2384" s="334" t="s">
        <v>4228</v>
      </c>
      <c r="C2384" s="340" t="s">
        <v>4229</v>
      </c>
      <c r="D2384" s="341">
        <v>2294.88</v>
      </c>
      <c r="E2384" s="341">
        <v>212.12</v>
      </c>
      <c r="F2384" s="341">
        <v>203.41</v>
      </c>
      <c r="G2384" s="341">
        <v>1879.35</v>
      </c>
      <c r="H2384" s="342">
        <v>15755.43</v>
      </c>
      <c r="I2384" s="342">
        <f>2768.06</f>
        <v>2768.06</v>
      </c>
      <c r="J2384" s="342">
        <v>1457.45</v>
      </c>
      <c r="K2384" s="342">
        <v>11529.92</v>
      </c>
      <c r="L2384" s="357">
        <f>IF(2294.88=0, "-", 15755.43/2294.88)</f>
        <v>6.8654700899393433</v>
      </c>
      <c r="M2384" s="357">
        <v>13.05</v>
      </c>
      <c r="N2384" s="357">
        <f>IF(203.41=0, "-", 1457.45/203.41)</f>
        <v>7.1650852957081757</v>
      </c>
      <c r="O2384" s="357">
        <f>IF(1879.35=0, "-", 11529.92/1879.35)</f>
        <v>6.1350573336525933</v>
      </c>
      <c r="P2384" s="343"/>
      <c r="Q2384" s="343"/>
      <c r="R2384" s="343">
        <f ca="1">IF(ISERROR(VALUE(TRIM(INDIRECT(ADDRESS(ROW()-1, COLUMN(A2289)))))), INDIRECT(ADDRESS(ROW()-2, COLUMN(R2289)))+1, INDIRECT(ADDRESS(ROW()-1, COLUMN(R2289))))</f>
        <v>14</v>
      </c>
    </row>
    <row r="2385" spans="1:18" ht="36">
      <c r="A2385" s="339">
        <v>66.819999999999993</v>
      </c>
      <c r="B2385" s="334" t="s">
        <v>4230</v>
      </c>
      <c r="C2385" s="340" t="s">
        <v>4231</v>
      </c>
      <c r="D2385" s="341">
        <v>2634.24</v>
      </c>
      <c r="E2385" s="341">
        <v>265.44</v>
      </c>
      <c r="F2385" s="341">
        <v>241.17</v>
      </c>
      <c r="G2385" s="341">
        <v>2127.63</v>
      </c>
      <c r="H2385" s="342">
        <v>18285</v>
      </c>
      <c r="I2385" s="342">
        <f>3463.94</f>
        <v>3463.94</v>
      </c>
      <c r="J2385" s="342">
        <v>1760.91</v>
      </c>
      <c r="K2385" s="342">
        <v>13060.15</v>
      </c>
      <c r="L2385" s="357">
        <f>IF(2634.24=0, "-", 18285/2634.24)</f>
        <v>6.941280976676385</v>
      </c>
      <c r="M2385" s="357">
        <v>13.05</v>
      </c>
      <c r="N2385" s="357">
        <f>IF(241.17=0, "-", 1760.91/241.17)</f>
        <v>7.3015300410498822</v>
      </c>
      <c r="O2385" s="357">
        <f>IF(2127.63=0, "-", 13060.15/2127.63)</f>
        <v>6.1383558231459414</v>
      </c>
      <c r="P2385" s="343"/>
      <c r="Q2385" s="343"/>
      <c r="R2385" s="343">
        <f ca="1">IF(ISERROR(VALUE(TRIM(INDIRECT(ADDRESS(ROW()-1, COLUMN(A2289)))))), INDIRECT(ADDRESS(ROW()-2, COLUMN(R2289)))+1, INDIRECT(ADDRESS(ROW()-1, COLUMN(R2289))))</f>
        <v>14</v>
      </c>
    </row>
    <row r="2386" spans="1:18" ht="36">
      <c r="A2386" s="339">
        <v>66.83</v>
      </c>
      <c r="B2386" s="334" t="s">
        <v>4232</v>
      </c>
      <c r="C2386" s="340" t="s">
        <v>4233</v>
      </c>
      <c r="D2386" s="341">
        <v>3392.13</v>
      </c>
      <c r="E2386" s="341">
        <v>318.77</v>
      </c>
      <c r="F2386" s="341">
        <v>275.61</v>
      </c>
      <c r="G2386" s="341">
        <v>2797.75</v>
      </c>
      <c r="H2386" s="342">
        <v>23336.27</v>
      </c>
      <c r="I2386" s="342">
        <f>4159.82</f>
        <v>4159.82</v>
      </c>
      <c r="J2386" s="342">
        <v>2001.08</v>
      </c>
      <c r="K2386" s="342">
        <v>17175.37</v>
      </c>
      <c r="L2386" s="357">
        <f>IF(3392.13=0, "-", 23336.27/3392.13)</f>
        <v>6.879532918844502</v>
      </c>
      <c r="M2386" s="357">
        <v>13.05</v>
      </c>
      <c r="N2386" s="357">
        <f>IF(275.61=0, "-", 2001.08/275.61)</f>
        <v>7.2605493269474977</v>
      </c>
      <c r="O2386" s="357">
        <f>IF(2797.75=0, "-", 17175.37/2797.75)</f>
        <v>6.138993834331159</v>
      </c>
      <c r="P2386" s="343"/>
      <c r="Q2386" s="343"/>
      <c r="R2386" s="343">
        <f ca="1">IF(ISERROR(VALUE(TRIM(INDIRECT(ADDRESS(ROW()-1, COLUMN(A2289)))))), INDIRECT(ADDRESS(ROW()-2, COLUMN(R2289)))+1, INDIRECT(ADDRESS(ROW()-1, COLUMN(R2289))))</f>
        <v>14</v>
      </c>
    </row>
    <row r="2387" spans="1:18" ht="36">
      <c r="A2387" s="339">
        <v>66.84</v>
      </c>
      <c r="B2387" s="334" t="s">
        <v>4234</v>
      </c>
      <c r="C2387" s="340" t="s">
        <v>4235</v>
      </c>
      <c r="D2387" s="341">
        <v>4159.32</v>
      </c>
      <c r="E2387" s="341">
        <v>400.53</v>
      </c>
      <c r="F2387" s="341">
        <v>329.67</v>
      </c>
      <c r="G2387" s="341">
        <v>3429.12</v>
      </c>
      <c r="H2387" s="342">
        <v>28662.97</v>
      </c>
      <c r="I2387" s="342">
        <f>5226.83</f>
        <v>5226.83</v>
      </c>
      <c r="J2387" s="342">
        <v>2378.0100000000002</v>
      </c>
      <c r="K2387" s="342">
        <v>21058.13</v>
      </c>
      <c r="L2387" s="357">
        <f>IF(4159.32=0, "-", 28662.97/4159.32)</f>
        <v>6.8912634757604616</v>
      </c>
      <c r="M2387" s="357">
        <v>13.05</v>
      </c>
      <c r="N2387" s="357">
        <f>IF(329.67=0, "-", 2378.01/329.67)</f>
        <v>7.2133042133042133</v>
      </c>
      <c r="O2387" s="357">
        <f>IF(3429.12=0, "-", 21058.13/3429.12)</f>
        <v>6.1409720278088846</v>
      </c>
      <c r="P2387" s="343"/>
      <c r="Q2387" s="343"/>
      <c r="R2387" s="343">
        <f ca="1">IF(ISERROR(VALUE(TRIM(INDIRECT(ADDRESS(ROW()-1, COLUMN(A2289)))))), INDIRECT(ADDRESS(ROW()-2, COLUMN(R2289)))+1, INDIRECT(ADDRESS(ROW()-1, COLUMN(R2289))))</f>
        <v>14</v>
      </c>
    </row>
    <row r="2388" spans="1:18" ht="36">
      <c r="A2388" s="339">
        <v>66.849999999999994</v>
      </c>
      <c r="B2388" s="334" t="s">
        <v>4236</v>
      </c>
      <c r="C2388" s="340" t="s">
        <v>4237</v>
      </c>
      <c r="D2388" s="341">
        <v>5593.87</v>
      </c>
      <c r="E2388" s="341">
        <v>458.6</v>
      </c>
      <c r="F2388" s="341">
        <v>352.52</v>
      </c>
      <c r="G2388" s="341">
        <v>4782.75</v>
      </c>
      <c r="H2388" s="342">
        <v>37922.01</v>
      </c>
      <c r="I2388" s="342">
        <f>5984.57</f>
        <v>5984.57</v>
      </c>
      <c r="J2388" s="342">
        <v>2537.4499999999998</v>
      </c>
      <c r="K2388" s="342">
        <v>29399.99</v>
      </c>
      <c r="L2388" s="357">
        <f>IF(5593.87=0, "-", 37922.01/5593.87)</f>
        <v>6.7792083119557667</v>
      </c>
      <c r="M2388" s="357">
        <v>13.05</v>
      </c>
      <c r="N2388" s="357">
        <f>IF(352.52=0, "-", 2537.45/352.52)</f>
        <v>7.198031317372064</v>
      </c>
      <c r="O2388" s="357">
        <f>IF(4782.75=0, "-", 29399.99/4782.75)</f>
        <v>6.1470890178244737</v>
      </c>
      <c r="P2388" s="343"/>
      <c r="Q2388" s="343"/>
      <c r="R2388" s="343">
        <f ca="1">IF(ISERROR(VALUE(TRIM(INDIRECT(ADDRESS(ROW()-1, COLUMN(A2289)))))), INDIRECT(ADDRESS(ROW()-2, COLUMN(R2289)))+1, INDIRECT(ADDRESS(ROW()-1, COLUMN(R2289))))</f>
        <v>14</v>
      </c>
    </row>
    <row r="2389" spans="1:18" ht="12.75">
      <c r="A2389" s="426" t="s">
        <v>4238</v>
      </c>
      <c r="B2389" s="427"/>
      <c r="C2389" s="427"/>
      <c r="D2389" s="427"/>
      <c r="E2389" s="427"/>
      <c r="F2389" s="427"/>
      <c r="G2389" s="427"/>
      <c r="H2389" s="427"/>
      <c r="I2389" s="427"/>
      <c r="J2389" s="427"/>
      <c r="K2389" s="427"/>
      <c r="L2389" s="427"/>
      <c r="M2389" s="427"/>
      <c r="N2389" s="427"/>
      <c r="O2389" s="427"/>
      <c r="P2389" s="427"/>
      <c r="Q2389" s="427"/>
      <c r="R2389" s="427"/>
    </row>
    <row r="2390" spans="1:18" ht="24">
      <c r="A2390" s="339">
        <v>66.86</v>
      </c>
      <c r="B2390" s="334" t="s">
        <v>4239</v>
      </c>
      <c r="C2390" s="340" t="s">
        <v>4240</v>
      </c>
      <c r="D2390" s="341">
        <v>645.95000000000005</v>
      </c>
      <c r="E2390" s="341">
        <v>64.28</v>
      </c>
      <c r="F2390" s="341">
        <v>80.91</v>
      </c>
      <c r="G2390" s="341">
        <v>500.76</v>
      </c>
      <c r="H2390" s="342">
        <v>3188.71</v>
      </c>
      <c r="I2390" s="342">
        <f>838.92</f>
        <v>838.92</v>
      </c>
      <c r="J2390" s="342">
        <v>645.79</v>
      </c>
      <c r="K2390" s="342">
        <v>1704</v>
      </c>
      <c r="L2390" s="357">
        <f>IF(645.95=0, "-", 3188.71/645.95)</f>
        <v>4.9364656707175474</v>
      </c>
      <c r="M2390" s="357">
        <v>13.05</v>
      </c>
      <c r="N2390" s="357">
        <f>IF(80.91=0, "-", 645.79/80.91)</f>
        <v>7.9815844765789148</v>
      </c>
      <c r="O2390" s="357">
        <f>IF(500.76=0, "-", 1704/500.76)</f>
        <v>3.4028277018931226</v>
      </c>
      <c r="P2390" s="343"/>
      <c r="Q2390" s="343"/>
      <c r="R2390" s="343">
        <f ca="1">IF(ISERROR(VALUE(TRIM(INDIRECT(ADDRESS(ROW()-1, COLUMN(A2289)))))), INDIRECT(ADDRESS(ROW()-2, COLUMN(R2289)))+1, INDIRECT(ADDRESS(ROW()-1, COLUMN(R2289))))</f>
        <v>15</v>
      </c>
    </row>
    <row r="2391" spans="1:18" ht="24">
      <c r="A2391" s="339">
        <v>66.87</v>
      </c>
      <c r="B2391" s="334" t="s">
        <v>4241</v>
      </c>
      <c r="C2391" s="340" t="s">
        <v>4242</v>
      </c>
      <c r="D2391" s="341">
        <v>1669.71</v>
      </c>
      <c r="E2391" s="341">
        <v>107.51</v>
      </c>
      <c r="F2391" s="341">
        <v>100.23</v>
      </c>
      <c r="G2391" s="341">
        <v>1461.97</v>
      </c>
      <c r="H2391" s="342">
        <v>9063.7199999999993</v>
      </c>
      <c r="I2391" s="342">
        <f>1402.97</f>
        <v>1402.97</v>
      </c>
      <c r="J2391" s="342">
        <v>780.53</v>
      </c>
      <c r="K2391" s="342">
        <v>6880.22</v>
      </c>
      <c r="L2391" s="357">
        <f>IF(1669.71=0, "-", 9063.72/1669.71)</f>
        <v>5.4283198878847223</v>
      </c>
      <c r="M2391" s="357">
        <v>13.05</v>
      </c>
      <c r="N2391" s="357">
        <f>IF(100.23=0, "-", 780.53/100.23)</f>
        <v>7.787389005287837</v>
      </c>
      <c r="O2391" s="357">
        <f>IF(1461.97=0, "-", 6880.22/1461.97)</f>
        <v>4.7061294007400978</v>
      </c>
      <c r="P2391" s="343"/>
      <c r="Q2391" s="343"/>
      <c r="R2391" s="343">
        <f ca="1">IF(ISERROR(VALUE(TRIM(INDIRECT(ADDRESS(ROW()-1, COLUMN(A2289)))))), INDIRECT(ADDRESS(ROW()-2, COLUMN(R2289)))+1, INDIRECT(ADDRESS(ROW()-1, COLUMN(R2289))))</f>
        <v>15</v>
      </c>
    </row>
    <row r="2392" spans="1:18" ht="24">
      <c r="A2392" s="339">
        <v>66.88</v>
      </c>
      <c r="B2392" s="334" t="s">
        <v>4243</v>
      </c>
      <c r="C2392" s="340" t="s">
        <v>4244</v>
      </c>
      <c r="D2392" s="341">
        <v>2889.92</v>
      </c>
      <c r="E2392" s="341">
        <v>148.1</v>
      </c>
      <c r="F2392" s="341">
        <v>123.44</v>
      </c>
      <c r="G2392" s="341">
        <v>2618.38</v>
      </c>
      <c r="H2392" s="342">
        <v>13107.7</v>
      </c>
      <c r="I2392" s="342">
        <f>1932.66</f>
        <v>1932.66</v>
      </c>
      <c r="J2392" s="342">
        <v>942.4</v>
      </c>
      <c r="K2392" s="342">
        <v>10232.64</v>
      </c>
      <c r="L2392" s="357">
        <f>IF(2889.92=0, "-", 13107.7/2889.92)</f>
        <v>4.5356618868342373</v>
      </c>
      <c r="M2392" s="357">
        <v>13.05</v>
      </c>
      <c r="N2392" s="357">
        <f>IF(123.44=0, "-", 942.4/123.44)</f>
        <v>7.6344782890473102</v>
      </c>
      <c r="O2392" s="357">
        <f>IF(2618.38=0, "-", 10232.64/2618.38)</f>
        <v>3.9080041857942693</v>
      </c>
      <c r="P2392" s="343"/>
      <c r="Q2392" s="343"/>
      <c r="R2392" s="343">
        <f ca="1">IF(ISERROR(VALUE(TRIM(INDIRECT(ADDRESS(ROW()-1, COLUMN(A2289)))))), INDIRECT(ADDRESS(ROW()-2, COLUMN(R2289)))+1, INDIRECT(ADDRESS(ROW()-1, COLUMN(R2289))))</f>
        <v>15</v>
      </c>
    </row>
    <row r="2393" spans="1:18" ht="24">
      <c r="A2393" s="339">
        <v>66.89</v>
      </c>
      <c r="B2393" s="334" t="s">
        <v>4245</v>
      </c>
      <c r="C2393" s="340" t="s">
        <v>4246</v>
      </c>
      <c r="D2393" s="341">
        <v>4308.32</v>
      </c>
      <c r="E2393" s="341">
        <v>170.04</v>
      </c>
      <c r="F2393" s="341">
        <v>128.76</v>
      </c>
      <c r="G2393" s="341">
        <v>4009.52</v>
      </c>
      <c r="H2393" s="342">
        <v>27736.17</v>
      </c>
      <c r="I2393" s="342">
        <f>2218.98</f>
        <v>2218.98</v>
      </c>
      <c r="J2393" s="342">
        <v>979.55</v>
      </c>
      <c r="K2393" s="342">
        <v>24537.64</v>
      </c>
      <c r="L2393" s="357">
        <f>IF(4308.32=0, "-", 27736.17/4308.32)</f>
        <v>6.4378156682883354</v>
      </c>
      <c r="M2393" s="357">
        <v>13.05</v>
      </c>
      <c r="N2393" s="357">
        <f>IF(128.76=0, "-", 979.55/128.76)</f>
        <v>7.6075644610127373</v>
      </c>
      <c r="O2393" s="357">
        <f>IF(4009.52=0, "-", 24537.64/4009.52)</f>
        <v>6.1198447694487124</v>
      </c>
      <c r="P2393" s="343"/>
      <c r="Q2393" s="343"/>
      <c r="R2393" s="343">
        <f ca="1">IF(ISERROR(VALUE(TRIM(INDIRECT(ADDRESS(ROW()-1, COLUMN(A2289)))))), INDIRECT(ADDRESS(ROW()-2, COLUMN(R2289)))+1, INDIRECT(ADDRESS(ROW()-1, COLUMN(R2289))))</f>
        <v>15</v>
      </c>
    </row>
    <row r="2394" spans="1:18" ht="24">
      <c r="A2394" s="339">
        <v>66.900000000000006</v>
      </c>
      <c r="B2394" s="334" t="s">
        <v>4247</v>
      </c>
      <c r="C2394" s="340" t="s">
        <v>4248</v>
      </c>
      <c r="D2394" s="341">
        <v>6015</v>
      </c>
      <c r="E2394" s="341">
        <v>159.16999999999999</v>
      </c>
      <c r="F2394" s="341">
        <v>151.91999999999999</v>
      </c>
      <c r="G2394" s="341">
        <v>5703.91</v>
      </c>
      <c r="H2394" s="342">
        <v>33588.51</v>
      </c>
      <c r="I2394" s="342">
        <f>2077.25</f>
        <v>2077.25</v>
      </c>
      <c r="J2394" s="342">
        <v>1141.07</v>
      </c>
      <c r="K2394" s="342">
        <v>30370.19</v>
      </c>
      <c r="L2394" s="357">
        <f>IF(6015=0, "-", 33588.51/6015)</f>
        <v>5.5841246882793021</v>
      </c>
      <c r="M2394" s="357">
        <v>13.05</v>
      </c>
      <c r="N2394" s="357">
        <f>IF(151.92=0, "-", 1141.07/151.92)</f>
        <v>7.5109926276987888</v>
      </c>
      <c r="O2394" s="357">
        <f>IF(5703.91=0, "-", 30370.19/5703.91)</f>
        <v>5.3244511221249979</v>
      </c>
      <c r="P2394" s="343"/>
      <c r="Q2394" s="343"/>
      <c r="R2394" s="343">
        <f ca="1">IF(ISERROR(VALUE(TRIM(INDIRECT(ADDRESS(ROW()-1, COLUMN(A2289)))))), INDIRECT(ADDRESS(ROW()-2, COLUMN(R2289)))+1, INDIRECT(ADDRESS(ROW()-1, COLUMN(R2289))))</f>
        <v>15</v>
      </c>
    </row>
    <row r="2395" spans="1:18" ht="24">
      <c r="A2395" s="339">
        <v>66.91</v>
      </c>
      <c r="B2395" s="334" t="s">
        <v>4249</v>
      </c>
      <c r="C2395" s="340" t="s">
        <v>4250</v>
      </c>
      <c r="D2395" s="341">
        <v>7049.16</v>
      </c>
      <c r="E2395" s="341">
        <v>185.06</v>
      </c>
      <c r="F2395" s="341">
        <v>174.93</v>
      </c>
      <c r="G2395" s="341">
        <v>6689.17</v>
      </c>
      <c r="H2395" s="342">
        <v>48546.53</v>
      </c>
      <c r="I2395" s="342">
        <f>2415.11</f>
        <v>2415.11</v>
      </c>
      <c r="J2395" s="342">
        <v>1301.45</v>
      </c>
      <c r="K2395" s="342">
        <v>44829.97</v>
      </c>
      <c r="L2395" s="357">
        <f>IF(7049.16=0, "-", 48546.53/7049.16)</f>
        <v>6.8868531853440693</v>
      </c>
      <c r="M2395" s="357">
        <v>13.05</v>
      </c>
      <c r="N2395" s="357">
        <f>IF(174.93=0, "-", 1301.45/174.93)</f>
        <v>7.4398330760875782</v>
      </c>
      <c r="O2395" s="357">
        <f>IF(6689.17=0, "-", 44829.97/6689.17)</f>
        <v>6.7018733265861083</v>
      </c>
      <c r="P2395" s="343"/>
      <c r="Q2395" s="343"/>
      <c r="R2395" s="343">
        <f ca="1">IF(ISERROR(VALUE(TRIM(INDIRECT(ADDRESS(ROW()-1, COLUMN(A2289)))))), INDIRECT(ADDRESS(ROW()-2, COLUMN(R2289)))+1, INDIRECT(ADDRESS(ROW()-1, COLUMN(R2289))))</f>
        <v>15</v>
      </c>
    </row>
    <row r="2396" spans="1:18" ht="24">
      <c r="A2396" s="339">
        <v>66.92</v>
      </c>
      <c r="B2396" s="334" t="s">
        <v>4251</v>
      </c>
      <c r="C2396" s="340" t="s">
        <v>4252</v>
      </c>
      <c r="D2396" s="341">
        <v>9840.83</v>
      </c>
      <c r="E2396" s="341">
        <v>205.58</v>
      </c>
      <c r="F2396" s="341">
        <v>189.56</v>
      </c>
      <c r="G2396" s="341">
        <v>9445.69</v>
      </c>
      <c r="H2396" s="342">
        <v>61895.73</v>
      </c>
      <c r="I2396" s="342">
        <f>2682.82</f>
        <v>2682.82</v>
      </c>
      <c r="J2396" s="342">
        <v>1403.5</v>
      </c>
      <c r="K2396" s="342">
        <v>57809.41</v>
      </c>
      <c r="L2396" s="357">
        <f>IF(9840.83=0, "-", 61895.73/9840.83)</f>
        <v>6.2896859309631408</v>
      </c>
      <c r="M2396" s="357">
        <v>13.05</v>
      </c>
      <c r="N2396" s="357">
        <f>IF(189.56=0, "-", 1403.5/189.56)</f>
        <v>7.4039881831610046</v>
      </c>
      <c r="O2396" s="357">
        <f>IF(9445.69=0, "-", 57809.41/9445.69)</f>
        <v>6.1201892079879823</v>
      </c>
      <c r="P2396" s="343"/>
      <c r="Q2396" s="343"/>
      <c r="R2396" s="343">
        <f ca="1">IF(ISERROR(VALUE(TRIM(INDIRECT(ADDRESS(ROW()-1, COLUMN(A2289)))))), INDIRECT(ADDRESS(ROW()-2, COLUMN(R2289)))+1, INDIRECT(ADDRESS(ROW()-1, COLUMN(R2289))))</f>
        <v>15</v>
      </c>
    </row>
    <row r="2397" spans="1:18" ht="24">
      <c r="A2397" s="339">
        <v>66.930000000000007</v>
      </c>
      <c r="B2397" s="334" t="s">
        <v>4253</v>
      </c>
      <c r="C2397" s="340" t="s">
        <v>4254</v>
      </c>
      <c r="D2397" s="341">
        <v>11241.48</v>
      </c>
      <c r="E2397" s="341">
        <v>229.27</v>
      </c>
      <c r="F2397" s="341">
        <v>225.63</v>
      </c>
      <c r="G2397" s="341">
        <v>10786.58</v>
      </c>
      <c r="H2397" s="342">
        <v>70662.8</v>
      </c>
      <c r="I2397" s="342">
        <f>2992.04</f>
        <v>2992.04</v>
      </c>
      <c r="J2397" s="342">
        <v>1654.97</v>
      </c>
      <c r="K2397" s="342">
        <v>66015.789999999994</v>
      </c>
      <c r="L2397" s="357">
        <f>IF(11241.48=0, "-", 70662.8/11241.48)</f>
        <v>6.2858982980888642</v>
      </c>
      <c r="M2397" s="357">
        <v>13.05</v>
      </c>
      <c r="N2397" s="357">
        <f>IF(225.63=0, "-", 1654.97/225.63)</f>
        <v>7.3348845454948366</v>
      </c>
      <c r="O2397" s="357">
        <f>IF(10786.58=0, "-", 66015.79/10786.58)</f>
        <v>6.1201780360410805</v>
      </c>
      <c r="P2397" s="343"/>
      <c r="Q2397" s="343"/>
      <c r="R2397" s="343">
        <f ca="1">IF(ISERROR(VALUE(TRIM(INDIRECT(ADDRESS(ROW()-1, COLUMN(A2289)))))), INDIRECT(ADDRESS(ROW()-2, COLUMN(R2289)))+1, INDIRECT(ADDRESS(ROW()-1, COLUMN(R2289))))</f>
        <v>15</v>
      </c>
    </row>
    <row r="2398" spans="1:18" ht="24">
      <c r="A2398" s="339">
        <v>66.94</v>
      </c>
      <c r="B2398" s="334" t="s">
        <v>4255</v>
      </c>
      <c r="C2398" s="340" t="s">
        <v>4256</v>
      </c>
      <c r="D2398" s="341">
        <v>12629.34</v>
      </c>
      <c r="E2398" s="341">
        <v>270.08</v>
      </c>
      <c r="F2398" s="341">
        <v>245.66</v>
      </c>
      <c r="G2398" s="341">
        <v>12113.6</v>
      </c>
      <c r="H2398" s="342">
        <v>79453.679999999993</v>
      </c>
      <c r="I2398" s="342">
        <f>3524.6</f>
        <v>3524.6</v>
      </c>
      <c r="J2398" s="342">
        <v>1785.06</v>
      </c>
      <c r="K2398" s="342">
        <v>74144.02</v>
      </c>
      <c r="L2398" s="357">
        <f>IF(12629.34=0, "-", 79453.68/12629.34)</f>
        <v>6.2911981148658596</v>
      </c>
      <c r="M2398" s="357">
        <v>13.05</v>
      </c>
      <c r="N2398" s="357">
        <f>IF(245.66=0, "-", 1785.06/245.66)</f>
        <v>7.2663844337702512</v>
      </c>
      <c r="O2398" s="357">
        <f>IF(12113.6=0, "-", 74144.02/12113.6)</f>
        <v>6.1207254655923924</v>
      </c>
      <c r="P2398" s="343"/>
      <c r="Q2398" s="343"/>
      <c r="R2398" s="343">
        <f ca="1">IF(ISERROR(VALUE(TRIM(INDIRECT(ADDRESS(ROW()-1, COLUMN(A2289)))))), INDIRECT(ADDRESS(ROW()-2, COLUMN(R2289)))+1, INDIRECT(ADDRESS(ROW()-1, COLUMN(R2289))))</f>
        <v>15</v>
      </c>
    </row>
    <row r="2399" spans="1:18" ht="24">
      <c r="A2399" s="339">
        <v>66.95</v>
      </c>
      <c r="B2399" s="334" t="s">
        <v>4257</v>
      </c>
      <c r="C2399" s="340" t="s">
        <v>4258</v>
      </c>
      <c r="D2399" s="341">
        <v>16634.38</v>
      </c>
      <c r="E2399" s="341">
        <v>301.77999999999997</v>
      </c>
      <c r="F2399" s="341">
        <v>280.10000000000002</v>
      </c>
      <c r="G2399" s="341">
        <v>16052.5</v>
      </c>
      <c r="H2399" s="342">
        <v>104271.3</v>
      </c>
      <c r="I2399" s="342">
        <f>3938.33</f>
        <v>3938.33</v>
      </c>
      <c r="J2399" s="342">
        <v>2025.23</v>
      </c>
      <c r="K2399" s="342">
        <v>98307.74</v>
      </c>
      <c r="L2399" s="357">
        <f>IF(16634.38=0, "-", 104271.3/16634.38)</f>
        <v>6.26842118552059</v>
      </c>
      <c r="M2399" s="357">
        <v>13.05</v>
      </c>
      <c r="N2399" s="357">
        <f>IF(280.1=0, "-", 2025.23/280.1)</f>
        <v>7.230382006426276</v>
      </c>
      <c r="O2399" s="357">
        <f>IF(16052.5=0, "-", 98307.74/16052.5)</f>
        <v>6.124138919171469</v>
      </c>
      <c r="P2399" s="343"/>
      <c r="Q2399" s="343"/>
      <c r="R2399" s="343">
        <f ca="1">IF(ISERROR(VALUE(TRIM(INDIRECT(ADDRESS(ROW()-1, COLUMN(A2289)))))), INDIRECT(ADDRESS(ROW()-2, COLUMN(R2289)))+1, INDIRECT(ADDRESS(ROW()-1, COLUMN(R2289))))</f>
        <v>15</v>
      </c>
    </row>
    <row r="2400" spans="1:18" ht="24">
      <c r="A2400" s="339">
        <v>66.959999999999994</v>
      </c>
      <c r="B2400" s="334" t="s">
        <v>4259</v>
      </c>
      <c r="C2400" s="340" t="s">
        <v>4260</v>
      </c>
      <c r="D2400" s="341">
        <v>20119.21</v>
      </c>
      <c r="E2400" s="341">
        <v>392.95</v>
      </c>
      <c r="F2400" s="341">
        <v>334.15</v>
      </c>
      <c r="G2400" s="341">
        <v>19392.11</v>
      </c>
      <c r="H2400" s="342">
        <v>126233.84</v>
      </c>
      <c r="I2400" s="342">
        <f>5127.99</f>
        <v>5127.99</v>
      </c>
      <c r="J2400" s="342">
        <v>2402.16</v>
      </c>
      <c r="K2400" s="342">
        <v>118703.69</v>
      </c>
      <c r="L2400" s="357">
        <f>IF(20119.21=0, "-", 126233.84/20119.21)</f>
        <v>6.2742940701946051</v>
      </c>
      <c r="M2400" s="357">
        <v>13.05</v>
      </c>
      <c r="N2400" s="357">
        <f>IF(334.15=0, "-", 2402.16/334.15)</f>
        <v>7.1888672751758191</v>
      </c>
      <c r="O2400" s="357">
        <f>IF(19392.11=0, "-", 118703.69/19392.11)</f>
        <v>6.1212364203792164</v>
      </c>
      <c r="P2400" s="343"/>
      <c r="Q2400" s="343"/>
      <c r="R2400" s="343">
        <f ca="1">IF(ISERROR(VALUE(TRIM(INDIRECT(ADDRESS(ROW()-1, COLUMN(A2289)))))), INDIRECT(ADDRESS(ROW()-2, COLUMN(R2289)))+1, INDIRECT(ADDRESS(ROW()-1, COLUMN(R2289))))</f>
        <v>15</v>
      </c>
    </row>
    <row r="2401" spans="1:18" ht="24">
      <c r="A2401" s="339">
        <v>66.97</v>
      </c>
      <c r="B2401" s="334" t="s">
        <v>4261</v>
      </c>
      <c r="C2401" s="340" t="s">
        <v>4262</v>
      </c>
      <c r="D2401" s="341">
        <v>27580.95</v>
      </c>
      <c r="E2401" s="341">
        <v>481.91</v>
      </c>
      <c r="F2401" s="341">
        <v>376.98</v>
      </c>
      <c r="G2401" s="341">
        <v>26722.06</v>
      </c>
      <c r="H2401" s="342">
        <v>172593.44</v>
      </c>
      <c r="I2401" s="342">
        <f>6289.02</f>
        <v>6289.02</v>
      </c>
      <c r="J2401" s="342">
        <v>2700.77</v>
      </c>
      <c r="K2401" s="342">
        <v>163603.65</v>
      </c>
      <c r="L2401" s="357">
        <f>IF(27580.95=0, "-", 172593.44/27580.95)</f>
        <v>6.2577046838488162</v>
      </c>
      <c r="M2401" s="357">
        <v>13.05</v>
      </c>
      <c r="N2401" s="357">
        <f>IF(376.98=0, "-", 2700.77/376.98)</f>
        <v>7.1642262188975536</v>
      </c>
      <c r="O2401" s="357">
        <f>IF(26722.06=0, "-", 163603.65/26722.06)</f>
        <v>6.1224190799661402</v>
      </c>
      <c r="P2401" s="343"/>
      <c r="Q2401" s="343"/>
      <c r="R2401" s="343">
        <f ca="1">IF(ISERROR(VALUE(TRIM(INDIRECT(ADDRESS(ROW()-1, COLUMN(A2289)))))), INDIRECT(ADDRESS(ROW()-2, COLUMN(R2289)))+1, INDIRECT(ADDRESS(ROW()-1, COLUMN(R2289))))</f>
        <v>15</v>
      </c>
    </row>
    <row r="2402" spans="1:18" ht="12.75">
      <c r="A2402" s="426" t="s">
        <v>4263</v>
      </c>
      <c r="B2402" s="427"/>
      <c r="C2402" s="427"/>
      <c r="D2402" s="427"/>
      <c r="E2402" s="427"/>
      <c r="F2402" s="427"/>
      <c r="G2402" s="427"/>
      <c r="H2402" s="427"/>
      <c r="I2402" s="427"/>
      <c r="J2402" s="427"/>
      <c r="K2402" s="427"/>
      <c r="L2402" s="427"/>
      <c r="M2402" s="427"/>
      <c r="N2402" s="427"/>
      <c r="O2402" s="427"/>
      <c r="P2402" s="427"/>
      <c r="Q2402" s="427"/>
      <c r="R2402" s="427"/>
    </row>
    <row r="2403" spans="1:18" ht="24">
      <c r="A2403" s="339">
        <v>66.98</v>
      </c>
      <c r="B2403" s="334" t="s">
        <v>4264</v>
      </c>
      <c r="C2403" s="340" t="s">
        <v>4265</v>
      </c>
      <c r="D2403" s="341">
        <v>467.78</v>
      </c>
      <c r="E2403" s="341">
        <v>228.26</v>
      </c>
      <c r="F2403" s="341">
        <v>232.35</v>
      </c>
      <c r="G2403" s="341">
        <v>7.17</v>
      </c>
      <c r="H2403" s="342">
        <v>5071.63</v>
      </c>
      <c r="I2403" s="342">
        <f>2978.75</f>
        <v>2978.75</v>
      </c>
      <c r="J2403" s="342">
        <v>2028.49</v>
      </c>
      <c r="K2403" s="342">
        <v>64.39</v>
      </c>
      <c r="L2403" s="357">
        <f>IF(467.78=0, "-", 5071.63/467.78)</f>
        <v>10.841912865022019</v>
      </c>
      <c r="M2403" s="357">
        <v>13.05</v>
      </c>
      <c r="N2403" s="357">
        <f>IF(232.35=0, "-", 2028.49/232.35)</f>
        <v>8.7303206369700881</v>
      </c>
      <c r="O2403" s="357">
        <f>IF(7.17=0, "-", 64.39/7.17)</f>
        <v>8.9804741980474194</v>
      </c>
      <c r="P2403" s="343"/>
      <c r="Q2403" s="343"/>
      <c r="R2403" s="343">
        <f ca="1">IF(ISERROR(VALUE(TRIM(INDIRECT(ADDRESS(ROW()-1, COLUMN(A2289)))))), INDIRECT(ADDRESS(ROW()-2, COLUMN(R2289)))+1, INDIRECT(ADDRESS(ROW()-1, COLUMN(R2289))))</f>
        <v>16</v>
      </c>
    </row>
    <row r="2404" spans="1:18" ht="24">
      <c r="A2404" s="339">
        <v>66.989999999999995</v>
      </c>
      <c r="B2404" s="334" t="s">
        <v>4266</v>
      </c>
      <c r="C2404" s="340" t="s">
        <v>4267</v>
      </c>
      <c r="D2404" s="341">
        <v>622.04</v>
      </c>
      <c r="E2404" s="341">
        <v>344.42</v>
      </c>
      <c r="F2404" s="341">
        <v>266.52999999999997</v>
      </c>
      <c r="G2404" s="341">
        <v>11.09</v>
      </c>
      <c r="H2404" s="342">
        <v>6933.57</v>
      </c>
      <c r="I2404" s="342">
        <f>4494.72</f>
        <v>4494.72</v>
      </c>
      <c r="J2404" s="342">
        <v>2339.3200000000002</v>
      </c>
      <c r="K2404" s="342">
        <v>99.53</v>
      </c>
      <c r="L2404" s="357">
        <f>IF(622.04=0, "-", 6933.57/622.04)</f>
        <v>11.14650183267957</v>
      </c>
      <c r="M2404" s="357">
        <v>13.05</v>
      </c>
      <c r="N2404" s="357">
        <f>IF(266.53=0, "-", 2339.32/266.53)</f>
        <v>8.7769481859452991</v>
      </c>
      <c r="O2404" s="357">
        <f>IF(11.09=0, "-", 99.53/11.09)</f>
        <v>8.9747520288548248</v>
      </c>
      <c r="P2404" s="343"/>
      <c r="Q2404" s="343"/>
      <c r="R2404" s="343">
        <f ca="1">IF(ISERROR(VALUE(TRIM(INDIRECT(ADDRESS(ROW()-1, COLUMN(A2289)))))), INDIRECT(ADDRESS(ROW()-2, COLUMN(R2289)))+1, INDIRECT(ADDRESS(ROW()-1, COLUMN(R2289))))</f>
        <v>16</v>
      </c>
    </row>
    <row r="2405" spans="1:18" ht="24">
      <c r="A2405" s="339">
        <v>66.099999999999994</v>
      </c>
      <c r="B2405" s="334" t="s">
        <v>4268</v>
      </c>
      <c r="C2405" s="340" t="s">
        <v>4269</v>
      </c>
      <c r="D2405" s="341">
        <v>637.64</v>
      </c>
      <c r="E2405" s="341">
        <v>357.67</v>
      </c>
      <c r="F2405" s="341">
        <v>266.52999999999997</v>
      </c>
      <c r="G2405" s="341">
        <v>13.44</v>
      </c>
      <c r="H2405" s="342">
        <v>7127.55</v>
      </c>
      <c r="I2405" s="342">
        <f>4667.6</f>
        <v>4667.6000000000004</v>
      </c>
      <c r="J2405" s="342">
        <v>2339.3200000000002</v>
      </c>
      <c r="K2405" s="342">
        <v>120.63</v>
      </c>
      <c r="L2405" s="357">
        <f>IF(637.64=0, "-", 7127.55/637.64)</f>
        <v>11.178015808293081</v>
      </c>
      <c r="M2405" s="357">
        <v>13.05</v>
      </c>
      <c r="N2405" s="357">
        <f>IF(266.53=0, "-", 2339.32/266.53)</f>
        <v>8.7769481859452991</v>
      </c>
      <c r="O2405" s="357">
        <f>IF(13.44=0, "-", 120.63/13.44)</f>
        <v>8.9754464285714288</v>
      </c>
      <c r="P2405" s="343"/>
      <c r="Q2405" s="343"/>
      <c r="R2405" s="343">
        <f ca="1">IF(ISERROR(VALUE(TRIM(INDIRECT(ADDRESS(ROW()-1, COLUMN(A2289)))))), INDIRECT(ADDRESS(ROW()-2, COLUMN(R2289)))+1, INDIRECT(ADDRESS(ROW()-1, COLUMN(R2289))))</f>
        <v>16</v>
      </c>
    </row>
    <row r="2406" spans="1:18" ht="24">
      <c r="A2406" s="339">
        <v>66.100999999999999</v>
      </c>
      <c r="B2406" s="334" t="s">
        <v>4270</v>
      </c>
      <c r="C2406" s="340" t="s">
        <v>4271</v>
      </c>
      <c r="D2406" s="341">
        <v>711.86</v>
      </c>
      <c r="E2406" s="341">
        <v>385.18</v>
      </c>
      <c r="F2406" s="341">
        <v>301.95999999999998</v>
      </c>
      <c r="G2406" s="341">
        <v>24.72</v>
      </c>
      <c r="H2406" s="342">
        <v>7910.2</v>
      </c>
      <c r="I2406" s="342">
        <f>5026.64</f>
        <v>5026.6400000000003</v>
      </c>
      <c r="J2406" s="342">
        <v>2661.57</v>
      </c>
      <c r="K2406" s="342">
        <v>221.99</v>
      </c>
      <c r="L2406" s="357">
        <f>IF(711.86=0, "-", 7910.2/711.86)</f>
        <v>11.112016407720619</v>
      </c>
      <c r="M2406" s="357">
        <v>13.05</v>
      </c>
      <c r="N2406" s="357">
        <f>IF(301.96=0, "-", 2661.57/301.96)</f>
        <v>8.8143131540601409</v>
      </c>
      <c r="O2406" s="357">
        <f>IF(24.72=0, "-", 221.99/24.72)</f>
        <v>8.9801779935275086</v>
      </c>
      <c r="P2406" s="343"/>
      <c r="Q2406" s="343"/>
      <c r="R2406" s="343">
        <f ca="1">IF(ISERROR(VALUE(TRIM(INDIRECT(ADDRESS(ROW()-1, COLUMN(A2289)))))), INDIRECT(ADDRESS(ROW()-2, COLUMN(R2289)))+1, INDIRECT(ADDRESS(ROW()-1, COLUMN(R2289))))</f>
        <v>16</v>
      </c>
    </row>
    <row r="2407" spans="1:18" ht="24">
      <c r="A2407" s="339">
        <v>66.102000000000004</v>
      </c>
      <c r="B2407" s="334" t="s">
        <v>4272</v>
      </c>
      <c r="C2407" s="340" t="s">
        <v>4273</v>
      </c>
      <c r="D2407" s="341">
        <v>820.18</v>
      </c>
      <c r="E2407" s="341">
        <v>443.27</v>
      </c>
      <c r="F2407" s="341">
        <v>336.14</v>
      </c>
      <c r="G2407" s="341">
        <v>40.770000000000003</v>
      </c>
      <c r="H2407" s="342">
        <v>9123.2099999999991</v>
      </c>
      <c r="I2407" s="342">
        <f>5784.63</f>
        <v>5784.63</v>
      </c>
      <c r="J2407" s="342">
        <v>2972.4</v>
      </c>
      <c r="K2407" s="342">
        <v>366.18</v>
      </c>
      <c r="L2407" s="357">
        <f>IF(820.18=0, "-", 9123.21/820.18)</f>
        <v>11.123424126411274</v>
      </c>
      <c r="M2407" s="357">
        <v>13.05</v>
      </c>
      <c r="N2407" s="357">
        <f>IF(336.14=0, "-", 2972.4/336.14)</f>
        <v>8.8427440947224376</v>
      </c>
      <c r="O2407" s="357">
        <f>IF(40.77=0, "-", 366.18/40.77)</f>
        <v>8.9816041206769679</v>
      </c>
      <c r="P2407" s="343"/>
      <c r="Q2407" s="343"/>
      <c r="R2407" s="343">
        <f ca="1">IF(ISERROR(VALUE(TRIM(INDIRECT(ADDRESS(ROW()-1, COLUMN(A2289)))))), INDIRECT(ADDRESS(ROW()-2, COLUMN(R2289)))+1, INDIRECT(ADDRESS(ROW()-1, COLUMN(R2289))))</f>
        <v>16</v>
      </c>
    </row>
    <row r="2408" spans="1:18" ht="24">
      <c r="A2408" s="339">
        <v>66.102999999999994</v>
      </c>
      <c r="B2408" s="334" t="s">
        <v>4274</v>
      </c>
      <c r="C2408" s="340" t="s">
        <v>4275</v>
      </c>
      <c r="D2408" s="341">
        <v>1118.75</v>
      </c>
      <c r="E2408" s="341">
        <v>607.32000000000005</v>
      </c>
      <c r="F2408" s="341">
        <v>443.73</v>
      </c>
      <c r="G2408" s="341">
        <v>67.7</v>
      </c>
      <c r="H2408" s="342">
        <v>12484.66</v>
      </c>
      <c r="I2408" s="342">
        <f>7925.61</f>
        <v>7925.61</v>
      </c>
      <c r="J2408" s="342">
        <v>3950.87</v>
      </c>
      <c r="K2408" s="342">
        <v>608.17999999999995</v>
      </c>
      <c r="L2408" s="357">
        <f>IF(1118.75=0, "-", 12484.66/1118.75)</f>
        <v>11.159472625698324</v>
      </c>
      <c r="M2408" s="357">
        <v>13.05</v>
      </c>
      <c r="N2408" s="357">
        <f>IF(443.73=0, "-", 3950.87/443.73)</f>
        <v>8.9037703107745703</v>
      </c>
      <c r="O2408" s="357">
        <f>IF(67.7=0, "-", 608.18/67.7)</f>
        <v>8.983456425406203</v>
      </c>
      <c r="P2408" s="343"/>
      <c r="Q2408" s="343"/>
      <c r="R2408" s="343">
        <f ca="1">IF(ISERROR(VALUE(TRIM(INDIRECT(ADDRESS(ROW()-1, COLUMN(A2289)))))), INDIRECT(ADDRESS(ROW()-2, COLUMN(R2289)))+1, INDIRECT(ADDRESS(ROW()-1, COLUMN(R2289))))</f>
        <v>16</v>
      </c>
    </row>
    <row r="2409" spans="1:18" ht="24">
      <c r="A2409" s="339">
        <v>66.103999999999999</v>
      </c>
      <c r="B2409" s="334" t="s">
        <v>4276</v>
      </c>
      <c r="C2409" s="340" t="s">
        <v>4277</v>
      </c>
      <c r="D2409" s="341">
        <v>1268.18</v>
      </c>
      <c r="E2409" s="341">
        <v>675.6</v>
      </c>
      <c r="F2409" s="341">
        <v>512.09</v>
      </c>
      <c r="G2409" s="341">
        <v>80.489999999999995</v>
      </c>
      <c r="H2409" s="342">
        <v>14112.2</v>
      </c>
      <c r="I2409" s="342">
        <f>8816.57</f>
        <v>8816.57</v>
      </c>
      <c r="J2409" s="342">
        <v>4572.53</v>
      </c>
      <c r="K2409" s="342">
        <v>723.1</v>
      </c>
      <c r="L2409" s="357">
        <f>IF(1268.18=0, "-", 14112.2/1268.18)</f>
        <v>11.127915595577916</v>
      </c>
      <c r="M2409" s="357">
        <v>13.05</v>
      </c>
      <c r="N2409" s="357">
        <f>IF(512.09=0, "-", 4572.53/512.09)</f>
        <v>8.9291530785604074</v>
      </c>
      <c r="O2409" s="357">
        <f>IF(80.49=0, "-", 723.1/80.49)</f>
        <v>8.9837246862964353</v>
      </c>
      <c r="P2409" s="343"/>
      <c r="Q2409" s="343"/>
      <c r="R2409" s="343">
        <f ca="1">IF(ISERROR(VALUE(TRIM(INDIRECT(ADDRESS(ROW()-1, COLUMN(A2289)))))), INDIRECT(ADDRESS(ROW()-2, COLUMN(R2289)))+1, INDIRECT(ADDRESS(ROW()-1, COLUMN(R2289))))</f>
        <v>16</v>
      </c>
    </row>
    <row r="2410" spans="1:18" ht="24">
      <c r="A2410" s="339">
        <v>66.105000000000004</v>
      </c>
      <c r="B2410" s="334" t="s">
        <v>4278</v>
      </c>
      <c r="C2410" s="340" t="s">
        <v>4279</v>
      </c>
      <c r="D2410" s="341">
        <v>1566.22</v>
      </c>
      <c r="E2410" s="341">
        <v>925.25</v>
      </c>
      <c r="F2410" s="341">
        <v>536.61</v>
      </c>
      <c r="G2410" s="341">
        <v>104.36</v>
      </c>
      <c r="H2410" s="342">
        <v>17806.96</v>
      </c>
      <c r="I2410" s="342">
        <f>12074.58</f>
        <v>12074.58</v>
      </c>
      <c r="J2410" s="342">
        <v>4794.8500000000004</v>
      </c>
      <c r="K2410" s="342">
        <v>937.53</v>
      </c>
      <c r="L2410" s="357">
        <f>IF(1566.22=0, "-", 17806.96/1566.22)</f>
        <v>11.369386165417373</v>
      </c>
      <c r="M2410" s="357">
        <v>13.05</v>
      </c>
      <c r="N2410" s="357">
        <f>IF(536.61=0, "-", 4794.85/536.61)</f>
        <v>8.9354465999515487</v>
      </c>
      <c r="O2410" s="357">
        <f>IF(104.36=0, "-", 937.53/104.36)</f>
        <v>8.9836144116519741</v>
      </c>
      <c r="P2410" s="343"/>
      <c r="Q2410" s="343"/>
      <c r="R2410" s="343">
        <f ca="1">IF(ISERROR(VALUE(TRIM(INDIRECT(ADDRESS(ROW()-1, COLUMN(A2289)))))), INDIRECT(ADDRESS(ROW()-2, COLUMN(R2289)))+1, INDIRECT(ADDRESS(ROW()-1, COLUMN(R2289))))</f>
        <v>16</v>
      </c>
    </row>
    <row r="2411" spans="1:18" ht="24">
      <c r="A2411" s="339">
        <v>66.105999999999995</v>
      </c>
      <c r="B2411" s="334" t="s">
        <v>4280</v>
      </c>
      <c r="C2411" s="340" t="s">
        <v>4281</v>
      </c>
      <c r="D2411" s="341">
        <v>1916.61</v>
      </c>
      <c r="E2411" s="341">
        <v>1100.52</v>
      </c>
      <c r="F2411" s="341">
        <v>686.75</v>
      </c>
      <c r="G2411" s="341">
        <v>129.34</v>
      </c>
      <c r="H2411" s="342">
        <v>21684.83</v>
      </c>
      <c r="I2411" s="342">
        <f>14361.84</f>
        <v>14361.84</v>
      </c>
      <c r="J2411" s="342">
        <v>6161.02</v>
      </c>
      <c r="K2411" s="342">
        <v>1161.97</v>
      </c>
      <c r="L2411" s="357">
        <f>IF(1916.61=0, "-", 21684.83/1916.61)</f>
        <v>11.314158853392188</v>
      </c>
      <c r="M2411" s="357">
        <v>13.05</v>
      </c>
      <c r="N2411" s="357">
        <f>IF(686.75=0, "-", 6161.02/686.75)</f>
        <v>8.9712704768838734</v>
      </c>
      <c r="O2411" s="357">
        <f>IF(129.34=0, "-", 1161.97/129.34)</f>
        <v>8.9838410391216943</v>
      </c>
      <c r="P2411" s="343"/>
      <c r="Q2411" s="343"/>
      <c r="R2411" s="343">
        <f ca="1">IF(ISERROR(VALUE(TRIM(INDIRECT(ADDRESS(ROW()-1, COLUMN(A2289)))))), INDIRECT(ADDRESS(ROW()-2, COLUMN(R2289)))+1, INDIRECT(ADDRESS(ROW()-1, COLUMN(R2289))))</f>
        <v>16</v>
      </c>
    </row>
    <row r="2412" spans="1:18" ht="24">
      <c r="A2412" s="339">
        <v>66.106999999999999</v>
      </c>
      <c r="B2412" s="334" t="s">
        <v>4282</v>
      </c>
      <c r="C2412" s="340" t="s">
        <v>4283</v>
      </c>
      <c r="D2412" s="341">
        <v>2154.62</v>
      </c>
      <c r="E2412" s="341">
        <v>1243.18</v>
      </c>
      <c r="F2412" s="341">
        <v>757.64</v>
      </c>
      <c r="G2412" s="341">
        <v>153.80000000000001</v>
      </c>
      <c r="H2412" s="342">
        <v>24411.07</v>
      </c>
      <c r="I2412" s="342">
        <f>16223.56</f>
        <v>16223.56</v>
      </c>
      <c r="J2412" s="342">
        <v>6805.72</v>
      </c>
      <c r="K2412" s="342">
        <v>1381.79</v>
      </c>
      <c r="L2412" s="357">
        <f>IF(2154.62=0, "-", 24411.07/2154.62)</f>
        <v>11.329640493451281</v>
      </c>
      <c r="M2412" s="357">
        <v>13.05</v>
      </c>
      <c r="N2412" s="357">
        <f>IF(757.64=0, "-", 6805.72/757.64)</f>
        <v>8.9827886595216739</v>
      </c>
      <c r="O2412" s="357">
        <f>IF(153.8=0, "-", 1381.79/153.8)</f>
        <v>8.9843302990897254</v>
      </c>
      <c r="P2412" s="343"/>
      <c r="Q2412" s="343"/>
      <c r="R2412" s="343">
        <f ca="1">IF(ISERROR(VALUE(TRIM(INDIRECT(ADDRESS(ROW()-1, COLUMN(A2289)))))), INDIRECT(ADDRESS(ROW()-2, COLUMN(R2289)))+1, INDIRECT(ADDRESS(ROW()-1, COLUMN(R2289))))</f>
        <v>16</v>
      </c>
    </row>
    <row r="2413" spans="1:18" ht="24">
      <c r="A2413" s="339">
        <v>66.108000000000004</v>
      </c>
      <c r="B2413" s="334" t="s">
        <v>4284</v>
      </c>
      <c r="C2413" s="340" t="s">
        <v>4285</v>
      </c>
      <c r="D2413" s="341">
        <v>2575.7399999999998</v>
      </c>
      <c r="E2413" s="341">
        <v>1518.31</v>
      </c>
      <c r="F2413" s="341">
        <v>883.67</v>
      </c>
      <c r="G2413" s="341">
        <v>173.76</v>
      </c>
      <c r="H2413" s="342">
        <v>29242.400000000001</v>
      </c>
      <c r="I2413" s="342">
        <f>19814.02</f>
        <v>19814.02</v>
      </c>
      <c r="J2413" s="342">
        <v>7867.28</v>
      </c>
      <c r="K2413" s="342">
        <v>1561.1</v>
      </c>
      <c r="L2413" s="357">
        <f>IF(2575.74=0, "-", 29242.4/2575.74)</f>
        <v>11.353009232298293</v>
      </c>
      <c r="M2413" s="357">
        <v>13.05</v>
      </c>
      <c r="N2413" s="357">
        <f>IF(883.67=0, "-", 7867.28/883.67)</f>
        <v>8.9029615127819213</v>
      </c>
      <c r="O2413" s="357">
        <f>IF(173.76=0, "-", 1561.1/173.76)</f>
        <v>8.9842311233885823</v>
      </c>
      <c r="P2413" s="343"/>
      <c r="Q2413" s="343"/>
      <c r="R2413" s="343">
        <f ca="1">IF(ISERROR(VALUE(TRIM(INDIRECT(ADDRESS(ROW()-1, COLUMN(A2289)))))), INDIRECT(ADDRESS(ROW()-2, COLUMN(R2289)))+1, INDIRECT(ADDRESS(ROW()-1, COLUMN(R2289))))</f>
        <v>16</v>
      </c>
    </row>
    <row r="2414" spans="1:18" ht="24">
      <c r="A2414" s="339">
        <v>66.108999999999995</v>
      </c>
      <c r="B2414" s="334" t="s">
        <v>4286</v>
      </c>
      <c r="C2414" s="340" t="s">
        <v>4287</v>
      </c>
      <c r="D2414" s="341">
        <v>3432.91</v>
      </c>
      <c r="E2414" s="341">
        <v>2211.23</v>
      </c>
      <c r="F2414" s="341">
        <v>1025.42</v>
      </c>
      <c r="G2414" s="341">
        <v>196.26</v>
      </c>
      <c r="H2414" s="342">
        <v>39776.47</v>
      </c>
      <c r="I2414" s="342">
        <f>28856.66</f>
        <v>28856.66</v>
      </c>
      <c r="J2414" s="342">
        <v>9156.4599999999991</v>
      </c>
      <c r="K2414" s="342">
        <v>1763.35</v>
      </c>
      <c r="L2414" s="357">
        <f>IF(3432.91=0, "-", 39776.47/3432.91)</f>
        <v>11.586808276360291</v>
      </c>
      <c r="M2414" s="357">
        <v>13.05</v>
      </c>
      <c r="N2414" s="357">
        <f>IF(1025.42=0, "-", 9156.46/1025.42)</f>
        <v>8.9294728013886981</v>
      </c>
      <c r="O2414" s="357">
        <f>IF(196.26=0, "-", 1763.35/196.26)</f>
        <v>8.9847651075104444</v>
      </c>
      <c r="P2414" s="343"/>
      <c r="Q2414" s="343"/>
      <c r="R2414" s="343">
        <f ca="1">IF(ISERROR(VALUE(TRIM(INDIRECT(ADDRESS(ROW()-1, COLUMN(A2289)))))), INDIRECT(ADDRESS(ROW()-2, COLUMN(R2289)))+1, INDIRECT(ADDRESS(ROW()-1, COLUMN(R2289))))</f>
        <v>16</v>
      </c>
    </row>
    <row r="2415" spans="1:18" ht="24">
      <c r="A2415" s="339">
        <v>66.11</v>
      </c>
      <c r="B2415" s="334" t="s">
        <v>4288</v>
      </c>
      <c r="C2415" s="340" t="s">
        <v>4289</v>
      </c>
      <c r="D2415" s="341">
        <v>3993.75</v>
      </c>
      <c r="E2415" s="341">
        <v>2384.46</v>
      </c>
      <c r="F2415" s="341">
        <v>1305.1400000000001</v>
      </c>
      <c r="G2415" s="341">
        <v>304.14999999999998</v>
      </c>
      <c r="H2415" s="342">
        <v>45550.44</v>
      </c>
      <c r="I2415" s="342">
        <f>31117.32</f>
        <v>31117.32</v>
      </c>
      <c r="J2415" s="342">
        <v>11700.38</v>
      </c>
      <c r="K2415" s="342">
        <v>2732.74</v>
      </c>
      <c r="L2415" s="357">
        <f>IF(3993.75=0, "-", 45550.44/3993.75)</f>
        <v>11.405430985915494</v>
      </c>
      <c r="M2415" s="357">
        <v>13.05</v>
      </c>
      <c r="N2415" s="357">
        <f>IF(1305.14=0, "-", 11700.38/1305.14)</f>
        <v>8.9648466831144535</v>
      </c>
      <c r="O2415" s="357">
        <f>IF(304.15=0, "-", 2732.74/304.15)</f>
        <v>8.9848430050961703</v>
      </c>
      <c r="P2415" s="343"/>
      <c r="Q2415" s="343"/>
      <c r="R2415" s="343">
        <f ca="1">IF(ISERROR(VALUE(TRIM(INDIRECT(ADDRESS(ROW()-1, COLUMN(A2289)))))), INDIRECT(ADDRESS(ROW()-2, COLUMN(R2289)))+1, INDIRECT(ADDRESS(ROW()-1, COLUMN(R2289))))</f>
        <v>16</v>
      </c>
    </row>
    <row r="2416" spans="1:18" ht="24">
      <c r="A2416" s="339">
        <v>66.111000000000004</v>
      </c>
      <c r="B2416" s="334" t="s">
        <v>4290</v>
      </c>
      <c r="C2416" s="340" t="s">
        <v>4291</v>
      </c>
      <c r="D2416" s="341">
        <v>5417.72</v>
      </c>
      <c r="E2416" s="341">
        <v>3270.99</v>
      </c>
      <c r="F2416" s="341">
        <v>1550.69</v>
      </c>
      <c r="G2416" s="341">
        <v>596.04</v>
      </c>
      <c r="H2416" s="342">
        <v>61975.5</v>
      </c>
      <c r="I2416" s="342">
        <f>42686.58</f>
        <v>42686.58</v>
      </c>
      <c r="J2416" s="342">
        <v>13933.58</v>
      </c>
      <c r="K2416" s="342">
        <v>5355.34</v>
      </c>
      <c r="L2416" s="357">
        <f>IF(5417.72=0, "-", 61975.5/5417.72)</f>
        <v>11.439406244693339</v>
      </c>
      <c r="M2416" s="357">
        <v>13.05</v>
      </c>
      <c r="N2416" s="357">
        <f>IF(1550.69=0, "-", 13933.58/1550.69)</f>
        <v>8.9854064964628648</v>
      </c>
      <c r="O2416" s="357">
        <f>IF(596.04=0, "-", 5355.34/596.04)</f>
        <v>8.984866787463929</v>
      </c>
      <c r="P2416" s="343"/>
      <c r="Q2416" s="343"/>
      <c r="R2416" s="343">
        <f ca="1">IF(ISERROR(VALUE(TRIM(INDIRECT(ADDRESS(ROW()-1, COLUMN(A2289)))))), INDIRECT(ADDRESS(ROW()-2, COLUMN(R2289)))+1, INDIRECT(ADDRESS(ROW()-1, COLUMN(R2289))))</f>
        <v>16</v>
      </c>
    </row>
    <row r="2417" spans="1:18" ht="24">
      <c r="A2417" s="339">
        <v>66.111999999999995</v>
      </c>
      <c r="B2417" s="334" t="s">
        <v>4292</v>
      </c>
      <c r="C2417" s="340" t="s">
        <v>4293</v>
      </c>
      <c r="D2417" s="341">
        <v>6220.09</v>
      </c>
      <c r="E2417" s="341">
        <v>3800.87</v>
      </c>
      <c r="F2417" s="341">
        <v>1727.89</v>
      </c>
      <c r="G2417" s="341">
        <v>691.33</v>
      </c>
      <c r="H2417" s="342">
        <v>71358.31</v>
      </c>
      <c r="I2417" s="342">
        <f>49601.54</f>
        <v>49601.54</v>
      </c>
      <c r="J2417" s="342">
        <v>15545.11</v>
      </c>
      <c r="K2417" s="342">
        <v>6211.66</v>
      </c>
      <c r="L2417" s="357">
        <f>IF(6220.09=0, "-", 71358.31/6220.09)</f>
        <v>11.472231109196169</v>
      </c>
      <c r="M2417" s="357">
        <v>13.05</v>
      </c>
      <c r="N2417" s="357">
        <f>IF(1727.89=0, "-", 15545.11/1727.89)</f>
        <v>8.9965854307855242</v>
      </c>
      <c r="O2417" s="357">
        <f>IF(691.33=0, "-", 6211.66/691.33)</f>
        <v>8.985086716907988</v>
      </c>
      <c r="P2417" s="343"/>
      <c r="Q2417" s="343"/>
      <c r="R2417" s="343">
        <f ca="1">IF(ISERROR(VALUE(TRIM(INDIRECT(ADDRESS(ROW()-1, COLUMN(A2289)))))), INDIRECT(ADDRESS(ROW()-2, COLUMN(R2289)))+1, INDIRECT(ADDRESS(ROW()-1, COLUMN(R2289))))</f>
        <v>16</v>
      </c>
    </row>
    <row r="2418" spans="1:18" ht="36">
      <c r="A2418" s="339">
        <v>66.113</v>
      </c>
      <c r="B2418" s="334" t="s">
        <v>4294</v>
      </c>
      <c r="C2418" s="340" t="s">
        <v>4295</v>
      </c>
      <c r="D2418" s="341">
        <v>606.55999999999995</v>
      </c>
      <c r="E2418" s="341">
        <v>333.21</v>
      </c>
      <c r="F2418" s="341">
        <v>266.18</v>
      </c>
      <c r="G2418" s="341">
        <v>7.17</v>
      </c>
      <c r="H2418" s="342">
        <v>6749.47</v>
      </c>
      <c r="I2418" s="342">
        <f>4348.45</f>
        <v>4348.45</v>
      </c>
      <c r="J2418" s="342">
        <v>2336.63</v>
      </c>
      <c r="K2418" s="342">
        <v>64.39</v>
      </c>
      <c r="L2418" s="357">
        <f>IF(606.56=0, "-", 6749.47/606.56)</f>
        <v>11.127456475863889</v>
      </c>
      <c r="M2418" s="357">
        <v>13.05</v>
      </c>
      <c r="N2418" s="357">
        <f>IF(266.18=0, "-", 2336.63/266.18)</f>
        <v>8.7783830490645425</v>
      </c>
      <c r="O2418" s="357">
        <f>IF(7.17=0, "-", 64.39/7.17)</f>
        <v>8.9804741980474194</v>
      </c>
      <c r="P2418" s="343"/>
      <c r="Q2418" s="343"/>
      <c r="R2418" s="343">
        <f ca="1">IF(ISERROR(VALUE(TRIM(INDIRECT(ADDRESS(ROW()-1, COLUMN(A2289)))))), INDIRECT(ADDRESS(ROW()-2, COLUMN(R2289)))+1, INDIRECT(ADDRESS(ROW()-1, COLUMN(R2289))))</f>
        <v>16</v>
      </c>
    </row>
    <row r="2419" spans="1:18" ht="36">
      <c r="A2419" s="339">
        <v>66.114000000000004</v>
      </c>
      <c r="B2419" s="334" t="s">
        <v>4296</v>
      </c>
      <c r="C2419" s="340" t="s">
        <v>4297</v>
      </c>
      <c r="D2419" s="341">
        <v>662.13</v>
      </c>
      <c r="E2419" s="341">
        <v>344.42</v>
      </c>
      <c r="F2419" s="341">
        <v>306.62</v>
      </c>
      <c r="G2419" s="341">
        <v>11.09</v>
      </c>
      <c r="H2419" s="342">
        <v>7298.78</v>
      </c>
      <c r="I2419" s="342">
        <f>4494.72</f>
        <v>4494.72</v>
      </c>
      <c r="J2419" s="342">
        <v>2704.53</v>
      </c>
      <c r="K2419" s="342">
        <v>99.53</v>
      </c>
      <c r="L2419" s="357">
        <f>IF(662.13=0, "-", 7298.78/662.13)</f>
        <v>11.023182758672768</v>
      </c>
      <c r="M2419" s="357">
        <v>13.05</v>
      </c>
      <c r="N2419" s="357">
        <f>IF(306.62=0, "-", 2704.53/306.62)</f>
        <v>8.8204618094057796</v>
      </c>
      <c r="O2419" s="357">
        <f>IF(11.09=0, "-", 99.53/11.09)</f>
        <v>8.9747520288548248</v>
      </c>
      <c r="P2419" s="343"/>
      <c r="Q2419" s="343"/>
      <c r="R2419" s="343">
        <f ca="1">IF(ISERROR(VALUE(TRIM(INDIRECT(ADDRESS(ROW()-1, COLUMN(A2289)))))), INDIRECT(ADDRESS(ROW()-2, COLUMN(R2289)))+1, INDIRECT(ADDRESS(ROW()-1, COLUMN(R2289))))</f>
        <v>16</v>
      </c>
    </row>
    <row r="2420" spans="1:18" ht="36">
      <c r="A2420" s="339">
        <v>66.114999999999995</v>
      </c>
      <c r="B2420" s="334" t="s">
        <v>4298</v>
      </c>
      <c r="C2420" s="340" t="s">
        <v>4299</v>
      </c>
      <c r="D2420" s="341">
        <v>677.73</v>
      </c>
      <c r="E2420" s="341">
        <v>357.67</v>
      </c>
      <c r="F2420" s="341">
        <v>306.62</v>
      </c>
      <c r="G2420" s="341">
        <v>13.44</v>
      </c>
      <c r="H2420" s="342">
        <v>7492.76</v>
      </c>
      <c r="I2420" s="342">
        <f>4667.6</f>
        <v>4667.6000000000004</v>
      </c>
      <c r="J2420" s="342">
        <v>2704.53</v>
      </c>
      <c r="K2420" s="342">
        <v>120.63</v>
      </c>
      <c r="L2420" s="357">
        <f>IF(677.73=0, "-", 7492.76/677.73)</f>
        <v>11.055671137473626</v>
      </c>
      <c r="M2420" s="357">
        <v>13.05</v>
      </c>
      <c r="N2420" s="357">
        <f>IF(306.62=0, "-", 2704.53/306.62)</f>
        <v>8.8204618094057796</v>
      </c>
      <c r="O2420" s="357">
        <f>IF(13.44=0, "-", 120.63/13.44)</f>
        <v>8.9754464285714288</v>
      </c>
      <c r="P2420" s="343"/>
      <c r="Q2420" s="343"/>
      <c r="R2420" s="343">
        <f ca="1">IF(ISERROR(VALUE(TRIM(INDIRECT(ADDRESS(ROW()-1, COLUMN(A2289)))))), INDIRECT(ADDRESS(ROW()-2, COLUMN(R2289)))+1, INDIRECT(ADDRESS(ROW()-1, COLUMN(R2289))))</f>
        <v>16</v>
      </c>
    </row>
    <row r="2421" spans="1:18" ht="36">
      <c r="A2421" s="339">
        <v>66.116</v>
      </c>
      <c r="B2421" s="334" t="s">
        <v>4300</v>
      </c>
      <c r="C2421" s="340" t="s">
        <v>4301</v>
      </c>
      <c r="D2421" s="341">
        <v>860.67</v>
      </c>
      <c r="E2421" s="341">
        <v>490.14</v>
      </c>
      <c r="F2421" s="341">
        <v>345.81</v>
      </c>
      <c r="G2421" s="341">
        <v>24.72</v>
      </c>
      <c r="H2421" s="342">
        <v>9679.34</v>
      </c>
      <c r="I2421" s="342">
        <f>6396.34</f>
        <v>6396.34</v>
      </c>
      <c r="J2421" s="342">
        <v>3061.01</v>
      </c>
      <c r="K2421" s="342">
        <v>221.99</v>
      </c>
      <c r="L2421" s="357">
        <f>IF(860.67=0, "-", 9679.34/860.67)</f>
        <v>11.246284871088804</v>
      </c>
      <c r="M2421" s="357">
        <v>13.05</v>
      </c>
      <c r="N2421" s="357">
        <f>IF(345.81=0, "-", 3061.01/345.81)</f>
        <v>8.8517104768514514</v>
      </c>
      <c r="O2421" s="357">
        <f>IF(24.72=0, "-", 221.99/24.72)</f>
        <v>8.9801779935275086</v>
      </c>
      <c r="P2421" s="343"/>
      <c r="Q2421" s="343"/>
      <c r="R2421" s="343">
        <f ca="1">IF(ISERROR(VALUE(TRIM(INDIRECT(ADDRESS(ROW()-1, COLUMN(A2289)))))), INDIRECT(ADDRESS(ROW()-2, COLUMN(R2289)))+1, INDIRECT(ADDRESS(ROW()-1, COLUMN(R2289))))</f>
        <v>16</v>
      </c>
    </row>
    <row r="2422" spans="1:18" ht="36">
      <c r="A2422" s="339">
        <v>66.117000000000004</v>
      </c>
      <c r="B2422" s="334" t="s">
        <v>4302</v>
      </c>
      <c r="C2422" s="340" t="s">
        <v>4303</v>
      </c>
      <c r="D2422" s="341">
        <v>975.24</v>
      </c>
      <c r="E2422" s="341">
        <v>548.22</v>
      </c>
      <c r="F2422" s="341">
        <v>386.25</v>
      </c>
      <c r="G2422" s="341">
        <v>40.770000000000003</v>
      </c>
      <c r="H2422" s="342">
        <v>10949.4</v>
      </c>
      <c r="I2422" s="342">
        <f>7154.32</f>
        <v>7154.32</v>
      </c>
      <c r="J2422" s="342">
        <v>3428.9</v>
      </c>
      <c r="K2422" s="342">
        <v>366.18</v>
      </c>
      <c r="L2422" s="357">
        <f>IF(975.24=0, "-", 10949.4/975.24)</f>
        <v>11.227390180878553</v>
      </c>
      <c r="M2422" s="357">
        <v>13.05</v>
      </c>
      <c r="N2422" s="357">
        <f>IF(386.25=0, "-", 3428.9/386.25)</f>
        <v>8.8774110032362454</v>
      </c>
      <c r="O2422" s="357">
        <f>IF(40.77=0, "-", 366.18/40.77)</f>
        <v>8.9816041206769679</v>
      </c>
      <c r="P2422" s="343"/>
      <c r="Q2422" s="343"/>
      <c r="R2422" s="343">
        <f ca="1">IF(ISERROR(VALUE(TRIM(INDIRECT(ADDRESS(ROW()-1, COLUMN(A2289)))))), INDIRECT(ADDRESS(ROW()-2, COLUMN(R2289)))+1, INDIRECT(ADDRESS(ROW()-1, COLUMN(R2289))))</f>
        <v>16</v>
      </c>
    </row>
    <row r="2423" spans="1:18" ht="36">
      <c r="A2423" s="339">
        <v>66.117999999999995</v>
      </c>
      <c r="B2423" s="334" t="s">
        <v>4304</v>
      </c>
      <c r="C2423" s="340" t="s">
        <v>4305</v>
      </c>
      <c r="D2423" s="341">
        <v>1186.4000000000001</v>
      </c>
      <c r="E2423" s="341">
        <v>607.32000000000005</v>
      </c>
      <c r="F2423" s="341">
        <v>511.38</v>
      </c>
      <c r="G2423" s="341">
        <v>67.7</v>
      </c>
      <c r="H2423" s="342">
        <v>13100.94</v>
      </c>
      <c r="I2423" s="342">
        <f>7925.61</f>
        <v>7925.61</v>
      </c>
      <c r="J2423" s="342">
        <v>4567.1499999999996</v>
      </c>
      <c r="K2423" s="342">
        <v>608.17999999999995</v>
      </c>
      <c r="L2423" s="357">
        <f>IF(1186.4=0, "-", 13100.94/1186.4)</f>
        <v>11.042599460552934</v>
      </c>
      <c r="M2423" s="357">
        <v>13.05</v>
      </c>
      <c r="N2423" s="357">
        <f>IF(511.38=0, "-", 4567.15/511.38)</f>
        <v>8.931029762603151</v>
      </c>
      <c r="O2423" s="357">
        <f>IF(67.7=0, "-", 608.18/67.7)</f>
        <v>8.983456425406203</v>
      </c>
      <c r="P2423" s="343"/>
      <c r="Q2423" s="343"/>
      <c r="R2423" s="343">
        <f ca="1">IF(ISERROR(VALUE(TRIM(INDIRECT(ADDRESS(ROW()-1, COLUMN(A2289)))))), INDIRECT(ADDRESS(ROW()-2, COLUMN(R2289)))+1, INDIRECT(ADDRESS(ROW()-1, COLUMN(R2289))))</f>
        <v>16</v>
      </c>
    </row>
    <row r="2424" spans="1:18" ht="36">
      <c r="A2424" s="339">
        <v>66.119</v>
      </c>
      <c r="B2424" s="334" t="s">
        <v>4306</v>
      </c>
      <c r="C2424" s="340" t="s">
        <v>4307</v>
      </c>
      <c r="D2424" s="341">
        <v>1452.05</v>
      </c>
      <c r="E2424" s="341">
        <v>780.55</v>
      </c>
      <c r="F2424" s="341">
        <v>591.01</v>
      </c>
      <c r="G2424" s="341">
        <v>80.489999999999995</v>
      </c>
      <c r="H2424" s="342">
        <v>16200.89</v>
      </c>
      <c r="I2424" s="342">
        <f>10186.27</f>
        <v>10186.27</v>
      </c>
      <c r="J2424" s="342">
        <v>5291.52</v>
      </c>
      <c r="K2424" s="342">
        <v>723.1</v>
      </c>
      <c r="L2424" s="357">
        <f>IF(1452.05=0, "-", 16200.89/1452.05)</f>
        <v>11.157253538101305</v>
      </c>
      <c r="M2424" s="357">
        <v>13.05</v>
      </c>
      <c r="N2424" s="357">
        <f>IF(591.01=0, "-", 5291.52/591.01)</f>
        <v>8.9533510431295582</v>
      </c>
      <c r="O2424" s="357">
        <f>IF(80.49=0, "-", 723.1/80.49)</f>
        <v>8.9837246862964353</v>
      </c>
      <c r="P2424" s="343"/>
      <c r="Q2424" s="343"/>
      <c r="R2424" s="343">
        <f ca="1">IF(ISERROR(VALUE(TRIM(INDIRECT(ADDRESS(ROW()-1, COLUMN(A2289)))))), INDIRECT(ADDRESS(ROW()-2, COLUMN(R2289)))+1, INDIRECT(ADDRESS(ROW()-1, COLUMN(R2289))))</f>
        <v>16</v>
      </c>
    </row>
    <row r="2425" spans="1:18" ht="36">
      <c r="A2425" s="339">
        <v>66.12</v>
      </c>
      <c r="B2425" s="334" t="s">
        <v>4308</v>
      </c>
      <c r="C2425" s="340" t="s">
        <v>4309</v>
      </c>
      <c r="D2425" s="341">
        <v>1702.77</v>
      </c>
      <c r="E2425" s="341">
        <v>925.25</v>
      </c>
      <c r="F2425" s="341">
        <v>673.16</v>
      </c>
      <c r="G2425" s="341">
        <v>104.36</v>
      </c>
      <c r="H2425" s="342">
        <v>19050.93</v>
      </c>
      <c r="I2425" s="342">
        <f>12074.58</f>
        <v>12074.58</v>
      </c>
      <c r="J2425" s="342">
        <v>6038.82</v>
      </c>
      <c r="K2425" s="342">
        <v>937.53</v>
      </c>
      <c r="L2425" s="357">
        <f>IF(1702.77=0, "-", 19050.93/1702.77)</f>
        <v>11.188199228316215</v>
      </c>
      <c r="M2425" s="357">
        <v>13.05</v>
      </c>
      <c r="N2425" s="357">
        <f>IF(673.16=0, "-", 6038.82/673.16)</f>
        <v>8.9708538831778473</v>
      </c>
      <c r="O2425" s="357">
        <f>IF(104.36=0, "-", 937.53/104.36)</f>
        <v>8.9836144116519741</v>
      </c>
      <c r="P2425" s="343"/>
      <c r="Q2425" s="343"/>
      <c r="R2425" s="343">
        <f ca="1">IF(ISERROR(VALUE(TRIM(INDIRECT(ADDRESS(ROW()-1, COLUMN(A2289)))))), INDIRECT(ADDRESS(ROW()-2, COLUMN(R2289)))+1, INDIRECT(ADDRESS(ROW()-1, COLUMN(R2289))))</f>
        <v>16</v>
      </c>
    </row>
    <row r="2426" spans="1:18" ht="36">
      <c r="A2426" s="339">
        <v>66.120999999999995</v>
      </c>
      <c r="B2426" s="334" t="s">
        <v>4310</v>
      </c>
      <c r="C2426" s="340" t="s">
        <v>4311</v>
      </c>
      <c r="D2426" s="341">
        <v>2135.19</v>
      </c>
      <c r="E2426" s="341">
        <v>1212.6099999999999</v>
      </c>
      <c r="F2426" s="341">
        <v>793.24</v>
      </c>
      <c r="G2426" s="341">
        <v>129.34</v>
      </c>
      <c r="H2426" s="342">
        <v>24117.68</v>
      </c>
      <c r="I2426" s="342">
        <f>15824.62</f>
        <v>15824.62</v>
      </c>
      <c r="J2426" s="342">
        <v>7131.09</v>
      </c>
      <c r="K2426" s="342">
        <v>1161.97</v>
      </c>
      <c r="L2426" s="357">
        <f>IF(2135.19=0, "-", 24117.68/2135.19)</f>
        <v>11.295332031341474</v>
      </c>
      <c r="M2426" s="357">
        <v>13.05</v>
      </c>
      <c r="N2426" s="357">
        <f>IF(793.24=0, "-", 7131.09/793.24)</f>
        <v>8.9898265342141102</v>
      </c>
      <c r="O2426" s="357">
        <f>IF(129.34=0, "-", 1161.97/129.34)</f>
        <v>8.9838410391216943</v>
      </c>
      <c r="P2426" s="343"/>
      <c r="Q2426" s="343"/>
      <c r="R2426" s="343">
        <f ca="1">IF(ISERROR(VALUE(TRIM(INDIRECT(ADDRESS(ROW()-1, COLUMN(A2289)))))), INDIRECT(ADDRESS(ROW()-2, COLUMN(R2289)))+1, INDIRECT(ADDRESS(ROW()-1, COLUMN(R2289))))</f>
        <v>16</v>
      </c>
    </row>
    <row r="2427" spans="1:18" ht="36">
      <c r="A2427" s="339">
        <v>66.122</v>
      </c>
      <c r="B2427" s="334" t="s">
        <v>4312</v>
      </c>
      <c r="C2427" s="340" t="s">
        <v>4313</v>
      </c>
      <c r="D2427" s="341">
        <v>2589.5300000000002</v>
      </c>
      <c r="E2427" s="341">
        <v>1559.07</v>
      </c>
      <c r="F2427" s="341">
        <v>876.66</v>
      </c>
      <c r="G2427" s="341">
        <v>153.80000000000001</v>
      </c>
      <c r="H2427" s="342">
        <v>29617.65</v>
      </c>
      <c r="I2427" s="342">
        <f>20345.94</f>
        <v>20345.939999999999</v>
      </c>
      <c r="J2427" s="342">
        <v>7889.92</v>
      </c>
      <c r="K2427" s="342">
        <v>1381.79</v>
      </c>
      <c r="L2427" s="357">
        <f>IF(2589.53=0, "-", 29617.65/2589.53)</f>
        <v>11.437461624310203</v>
      </c>
      <c r="M2427" s="357">
        <v>13.05</v>
      </c>
      <c r="N2427" s="357">
        <f>IF(876.66=0, "-", 7889.92/876.66)</f>
        <v>8.9999771861382989</v>
      </c>
      <c r="O2427" s="357">
        <f>IF(153.8=0, "-", 1381.79/153.8)</f>
        <v>8.9843302990897254</v>
      </c>
      <c r="P2427" s="343"/>
      <c r="Q2427" s="343"/>
      <c r="R2427" s="343">
        <f ca="1">IF(ISERROR(VALUE(TRIM(INDIRECT(ADDRESS(ROW()-1, COLUMN(A2289)))))), INDIRECT(ADDRESS(ROW()-2, COLUMN(R2289)))+1, INDIRECT(ADDRESS(ROW()-1, COLUMN(R2289))))</f>
        <v>16</v>
      </c>
    </row>
    <row r="2428" spans="1:18" ht="36">
      <c r="A2428" s="339">
        <v>66.123000000000005</v>
      </c>
      <c r="B2428" s="334" t="s">
        <v>4314</v>
      </c>
      <c r="C2428" s="340" t="s">
        <v>4315</v>
      </c>
      <c r="D2428" s="341">
        <v>2926.06</v>
      </c>
      <c r="E2428" s="341">
        <v>1733.32</v>
      </c>
      <c r="F2428" s="341">
        <v>1018.98</v>
      </c>
      <c r="G2428" s="341">
        <v>173.76</v>
      </c>
      <c r="H2428" s="342">
        <v>33280.839999999997</v>
      </c>
      <c r="I2428" s="342">
        <f>22619.9</f>
        <v>22619.9</v>
      </c>
      <c r="J2428" s="342">
        <v>9099.84</v>
      </c>
      <c r="K2428" s="342">
        <v>1561.1</v>
      </c>
      <c r="L2428" s="357">
        <f>IF(2926.06=0, "-", 33280.84/2926.06)</f>
        <v>11.373943118049526</v>
      </c>
      <c r="M2428" s="357">
        <v>13.05</v>
      </c>
      <c r="N2428" s="357">
        <f>IF(1018.98=0, "-", 9099.84/1018.98)</f>
        <v>8.9303421068126951</v>
      </c>
      <c r="O2428" s="357">
        <f>IF(173.76=0, "-", 1561.1/173.76)</f>
        <v>8.9842311233885823</v>
      </c>
      <c r="P2428" s="343"/>
      <c r="Q2428" s="343"/>
      <c r="R2428" s="343">
        <f ca="1">IF(ISERROR(VALUE(TRIM(INDIRECT(ADDRESS(ROW()-1, COLUMN(A2289)))))), INDIRECT(ADDRESS(ROW()-2, COLUMN(R2289)))+1, INDIRECT(ADDRESS(ROW()-1, COLUMN(R2289))))</f>
        <v>16</v>
      </c>
    </row>
    <row r="2429" spans="1:18" ht="36">
      <c r="A2429" s="339">
        <v>66.123999999999995</v>
      </c>
      <c r="B2429" s="334" t="s">
        <v>4316</v>
      </c>
      <c r="C2429" s="340" t="s">
        <v>4317</v>
      </c>
      <c r="D2429" s="341">
        <v>3296.28</v>
      </c>
      <c r="E2429" s="341">
        <v>1916.74</v>
      </c>
      <c r="F2429" s="341">
        <v>1183.28</v>
      </c>
      <c r="G2429" s="341">
        <v>196.26</v>
      </c>
      <c r="H2429" s="342">
        <v>37371.339999999997</v>
      </c>
      <c r="I2429" s="342">
        <f>25013.54</f>
        <v>25013.54</v>
      </c>
      <c r="J2429" s="342">
        <v>10594.45</v>
      </c>
      <c r="K2429" s="342">
        <v>1763.35</v>
      </c>
      <c r="L2429" s="357">
        <f>IF(3296.28=0, "-", 37371.34/3296.28)</f>
        <v>11.337428859198853</v>
      </c>
      <c r="M2429" s="357">
        <v>13.05</v>
      </c>
      <c r="N2429" s="357">
        <f>IF(1183.28=0, "-", 10594.45/1183.28)</f>
        <v>8.9534598742478551</v>
      </c>
      <c r="O2429" s="357">
        <f>IF(196.26=0, "-", 1763.35/196.26)</f>
        <v>8.9847651075104444</v>
      </c>
      <c r="P2429" s="343"/>
      <c r="Q2429" s="343"/>
      <c r="R2429" s="343">
        <f ca="1">IF(ISERROR(VALUE(TRIM(INDIRECT(ADDRESS(ROW()-1, COLUMN(A2289)))))), INDIRECT(ADDRESS(ROW()-2, COLUMN(R2289)))+1, INDIRECT(ADDRESS(ROW()-1, COLUMN(R2289))))</f>
        <v>16</v>
      </c>
    </row>
    <row r="2430" spans="1:18" ht="36">
      <c r="A2430" s="339">
        <v>66.125</v>
      </c>
      <c r="B2430" s="334" t="s">
        <v>4318</v>
      </c>
      <c r="C2430" s="340" t="s">
        <v>4319</v>
      </c>
      <c r="D2430" s="341">
        <v>4400.2700000000004</v>
      </c>
      <c r="E2430" s="341">
        <v>2589.2800000000002</v>
      </c>
      <c r="F2430" s="341">
        <v>1506.84</v>
      </c>
      <c r="G2430" s="341">
        <v>304.14999999999998</v>
      </c>
      <c r="H2430" s="342">
        <v>50060.77</v>
      </c>
      <c r="I2430" s="342">
        <f>33790.22</f>
        <v>33790.22</v>
      </c>
      <c r="J2430" s="342">
        <v>13537.81</v>
      </c>
      <c r="K2430" s="342">
        <v>2732.74</v>
      </c>
      <c r="L2430" s="357">
        <f>IF(4400.27=0, "-", 50060.77/4400.27)</f>
        <v>11.376749608546746</v>
      </c>
      <c r="M2430" s="357">
        <v>13.05</v>
      </c>
      <c r="N2430" s="357">
        <f>IF(1506.84=0, "-", 13537.81/1506.84)</f>
        <v>8.9842385389291497</v>
      </c>
      <c r="O2430" s="357">
        <f>IF(304.15=0, "-", 2732.74/304.15)</f>
        <v>8.9848430050961703</v>
      </c>
      <c r="P2430" s="343"/>
      <c r="Q2430" s="343"/>
      <c r="R2430" s="343">
        <f ca="1">IF(ISERROR(VALUE(TRIM(INDIRECT(ADDRESS(ROW()-1, COLUMN(A2289)))))), INDIRECT(ADDRESS(ROW()-2, COLUMN(R2289)))+1, INDIRECT(ADDRESS(ROW()-1, COLUMN(R2289))))</f>
        <v>16</v>
      </c>
    </row>
    <row r="2431" spans="1:18" ht="36">
      <c r="A2431" s="339">
        <v>66.126000000000005</v>
      </c>
      <c r="B2431" s="334" t="s">
        <v>4320</v>
      </c>
      <c r="C2431" s="340" t="s">
        <v>4321</v>
      </c>
      <c r="D2431" s="341">
        <v>5874.53</v>
      </c>
      <c r="E2431" s="341">
        <v>3486</v>
      </c>
      <c r="F2431" s="341">
        <v>1792.49</v>
      </c>
      <c r="G2431" s="341">
        <v>596.04</v>
      </c>
      <c r="H2431" s="342">
        <v>66984.009999999995</v>
      </c>
      <c r="I2431" s="342">
        <f>45492.46</f>
        <v>45492.46</v>
      </c>
      <c r="J2431" s="342">
        <v>16136.21</v>
      </c>
      <c r="K2431" s="342">
        <v>5355.34</v>
      </c>
      <c r="L2431" s="357">
        <f>IF(5874.53=0, "-", 66984.01/5874.53)</f>
        <v>11.402445812686292</v>
      </c>
      <c r="M2431" s="357">
        <v>13.05</v>
      </c>
      <c r="N2431" s="357">
        <f>IF(1792.49=0, "-", 16136.21/1792.49)</f>
        <v>9.0021199560388059</v>
      </c>
      <c r="O2431" s="357">
        <f>IF(596.04=0, "-", 5355.34/596.04)</f>
        <v>8.984866787463929</v>
      </c>
      <c r="P2431" s="343"/>
      <c r="Q2431" s="343"/>
      <c r="R2431" s="343">
        <f ca="1">IF(ISERROR(VALUE(TRIM(INDIRECT(ADDRESS(ROW()-1, COLUMN(A2289)))))), INDIRECT(ADDRESS(ROW()-2, COLUMN(R2289)))+1, INDIRECT(ADDRESS(ROW()-1, COLUMN(R2289))))</f>
        <v>16</v>
      </c>
    </row>
    <row r="2432" spans="1:18" ht="36">
      <c r="A2432" s="339">
        <v>66.126999999999995</v>
      </c>
      <c r="B2432" s="334" t="s">
        <v>4322</v>
      </c>
      <c r="C2432" s="340" t="s">
        <v>4323</v>
      </c>
      <c r="D2432" s="341">
        <v>6804.31</v>
      </c>
      <c r="E2432" s="341">
        <v>4115.74</v>
      </c>
      <c r="F2432" s="341">
        <v>1997.24</v>
      </c>
      <c r="G2432" s="341">
        <v>691.33</v>
      </c>
      <c r="H2432" s="342">
        <v>77921.100000000006</v>
      </c>
      <c r="I2432" s="342">
        <f>53710.62</f>
        <v>53710.62</v>
      </c>
      <c r="J2432" s="342">
        <v>17998.82</v>
      </c>
      <c r="K2432" s="342">
        <v>6211.66</v>
      </c>
      <c r="L2432" s="357">
        <f>IF(6804.31=0, "-", 77921.1/6804.31)</f>
        <v>11.451726920143262</v>
      </c>
      <c r="M2432" s="357">
        <v>13.05</v>
      </c>
      <c r="N2432" s="357">
        <f>IF(1997.24=0, "-", 17998.82/1997.24)</f>
        <v>9.0118463479601854</v>
      </c>
      <c r="O2432" s="357">
        <f>IF(691.33=0, "-", 6211.66/691.33)</f>
        <v>8.985086716907988</v>
      </c>
      <c r="P2432" s="343"/>
      <c r="Q2432" s="343"/>
      <c r="R2432" s="343">
        <f ca="1">IF(ISERROR(VALUE(TRIM(INDIRECT(ADDRESS(ROW()-1, COLUMN(A2289)))))), INDIRECT(ADDRESS(ROW()-2, COLUMN(R2289)))+1, INDIRECT(ADDRESS(ROW()-1, COLUMN(R2289))))</f>
        <v>16</v>
      </c>
    </row>
    <row r="2433" spans="1:18" ht="36">
      <c r="A2433" s="339">
        <v>66.128</v>
      </c>
      <c r="B2433" s="334" t="s">
        <v>4324</v>
      </c>
      <c r="C2433" s="340" t="s">
        <v>4325</v>
      </c>
      <c r="D2433" s="341">
        <v>371.82</v>
      </c>
      <c r="E2433" s="341">
        <v>333.21</v>
      </c>
      <c r="F2433" s="341">
        <v>31.44</v>
      </c>
      <c r="G2433" s="341">
        <v>7.17</v>
      </c>
      <c r="H2433" s="342">
        <v>4578.03</v>
      </c>
      <c r="I2433" s="342">
        <f>4348.45</f>
        <v>4348.45</v>
      </c>
      <c r="J2433" s="342">
        <v>165.19</v>
      </c>
      <c r="K2433" s="342">
        <v>64.39</v>
      </c>
      <c r="L2433" s="357">
        <f>IF(371.82=0, "-", 4578.03/371.82)</f>
        <v>12.312489914474746</v>
      </c>
      <c r="M2433" s="357">
        <v>13.05</v>
      </c>
      <c r="N2433" s="357">
        <f>IF(31.44=0, "-", 165.19/31.44)</f>
        <v>5.2541348600508906</v>
      </c>
      <c r="O2433" s="357">
        <f>IF(7.17=0, "-", 64.39/7.17)</f>
        <v>8.9804741980474194</v>
      </c>
      <c r="P2433" s="343"/>
      <c r="Q2433" s="343"/>
      <c r="R2433" s="343">
        <f ca="1">IF(ISERROR(VALUE(TRIM(INDIRECT(ADDRESS(ROW()-1, COLUMN(A2289)))))), INDIRECT(ADDRESS(ROW()-2, COLUMN(R2289)))+1, INDIRECT(ADDRESS(ROW()-1, COLUMN(R2289))))</f>
        <v>16</v>
      </c>
    </row>
    <row r="2434" spans="1:18" ht="36">
      <c r="A2434" s="339">
        <v>66.129000000000005</v>
      </c>
      <c r="B2434" s="334" t="s">
        <v>4326</v>
      </c>
      <c r="C2434" s="340" t="s">
        <v>4327</v>
      </c>
      <c r="D2434" s="341">
        <v>387.3</v>
      </c>
      <c r="E2434" s="341">
        <v>344.42</v>
      </c>
      <c r="F2434" s="341">
        <v>31.79</v>
      </c>
      <c r="G2434" s="341">
        <v>11.09</v>
      </c>
      <c r="H2434" s="342">
        <v>4762.13</v>
      </c>
      <c r="I2434" s="342">
        <f>4494.72</f>
        <v>4494.72</v>
      </c>
      <c r="J2434" s="342">
        <v>167.88</v>
      </c>
      <c r="K2434" s="342">
        <v>99.53</v>
      </c>
      <c r="L2434" s="357">
        <f>IF(387.3=0, "-", 4762.13/387.3)</f>
        <v>12.295713916860315</v>
      </c>
      <c r="M2434" s="357">
        <v>13.05</v>
      </c>
      <c r="N2434" s="357">
        <f>IF(31.79=0, "-", 167.88/31.79)</f>
        <v>5.2809059452658067</v>
      </c>
      <c r="O2434" s="357">
        <f>IF(11.09=0, "-", 99.53/11.09)</f>
        <v>8.9747520288548248</v>
      </c>
      <c r="P2434" s="343"/>
      <c r="Q2434" s="343"/>
      <c r="R2434" s="343">
        <f ca="1">IF(ISERROR(VALUE(TRIM(INDIRECT(ADDRESS(ROW()-1, COLUMN(A2289)))))), INDIRECT(ADDRESS(ROW()-2, COLUMN(R2289)))+1, INDIRECT(ADDRESS(ROW()-1, COLUMN(R2289))))</f>
        <v>16</v>
      </c>
    </row>
    <row r="2435" spans="1:18" ht="36">
      <c r="A2435" s="339">
        <v>66.13</v>
      </c>
      <c r="B2435" s="334" t="s">
        <v>4328</v>
      </c>
      <c r="C2435" s="340" t="s">
        <v>4329</v>
      </c>
      <c r="D2435" s="341">
        <v>510.6</v>
      </c>
      <c r="E2435" s="341">
        <v>462.63</v>
      </c>
      <c r="F2435" s="341">
        <v>34.53</v>
      </c>
      <c r="G2435" s="341">
        <v>13.44</v>
      </c>
      <c r="H2435" s="342">
        <v>6339.86</v>
      </c>
      <c r="I2435" s="342">
        <f>6037.29</f>
        <v>6037.29</v>
      </c>
      <c r="J2435" s="342">
        <v>181.94</v>
      </c>
      <c r="K2435" s="342">
        <v>120.63</v>
      </c>
      <c r="L2435" s="357">
        <f>IF(510.6=0, "-", 6339.86/510.6)</f>
        <v>12.416490403446923</v>
      </c>
      <c r="M2435" s="357">
        <v>13.05</v>
      </c>
      <c r="N2435" s="357">
        <f>IF(34.53=0, "-", 181.94/34.53)</f>
        <v>5.2690414132638281</v>
      </c>
      <c r="O2435" s="357">
        <f>IF(13.44=0, "-", 120.63/13.44)</f>
        <v>8.9754464285714288</v>
      </c>
      <c r="P2435" s="343"/>
      <c r="Q2435" s="343"/>
      <c r="R2435" s="343">
        <f ca="1">IF(ISERROR(VALUE(TRIM(INDIRECT(ADDRESS(ROW()-1, COLUMN(A2289)))))), INDIRECT(ADDRESS(ROW()-2, COLUMN(R2289)))+1, INDIRECT(ADDRESS(ROW()-1, COLUMN(R2289))))</f>
        <v>16</v>
      </c>
    </row>
    <row r="2436" spans="1:18" ht="36">
      <c r="A2436" s="339">
        <v>66.131</v>
      </c>
      <c r="B2436" s="334" t="s">
        <v>4330</v>
      </c>
      <c r="C2436" s="340" t="s">
        <v>4331</v>
      </c>
      <c r="D2436" s="341">
        <v>549.74</v>
      </c>
      <c r="E2436" s="341">
        <v>490.14</v>
      </c>
      <c r="F2436" s="341">
        <v>34.880000000000003</v>
      </c>
      <c r="G2436" s="341">
        <v>24.72</v>
      </c>
      <c r="H2436" s="342">
        <v>6802.96</v>
      </c>
      <c r="I2436" s="342">
        <f>6396.34</f>
        <v>6396.34</v>
      </c>
      <c r="J2436" s="342">
        <v>184.63</v>
      </c>
      <c r="K2436" s="342">
        <v>221.99</v>
      </c>
      <c r="L2436" s="357">
        <f>IF(549.74=0, "-", 6802.96/549.74)</f>
        <v>12.374868119474661</v>
      </c>
      <c r="M2436" s="357">
        <v>13.05</v>
      </c>
      <c r="N2436" s="357">
        <f>IF(34.88=0, "-", 184.63/34.88)</f>
        <v>5.2932912844036695</v>
      </c>
      <c r="O2436" s="357">
        <f>IF(24.72=0, "-", 221.99/24.72)</f>
        <v>8.9801779935275086</v>
      </c>
      <c r="P2436" s="343"/>
      <c r="Q2436" s="343"/>
      <c r="R2436" s="343">
        <f ca="1">IF(ISERROR(VALUE(TRIM(INDIRECT(ADDRESS(ROW()-1, COLUMN(A2289)))))), INDIRECT(ADDRESS(ROW()-2, COLUMN(R2289)))+1, INDIRECT(ADDRESS(ROW()-1, COLUMN(R2289))))</f>
        <v>16</v>
      </c>
    </row>
    <row r="2437" spans="1:18" ht="36">
      <c r="A2437" s="339">
        <v>66.132000000000005</v>
      </c>
      <c r="B2437" s="334" t="s">
        <v>4332</v>
      </c>
      <c r="C2437" s="340" t="s">
        <v>4333</v>
      </c>
      <c r="D2437" s="341">
        <v>624.22</v>
      </c>
      <c r="E2437" s="341">
        <v>548.22</v>
      </c>
      <c r="F2437" s="341">
        <v>35.229999999999997</v>
      </c>
      <c r="G2437" s="341">
        <v>40.770000000000003</v>
      </c>
      <c r="H2437" s="342">
        <v>7707.82</v>
      </c>
      <c r="I2437" s="342">
        <f>7154.32</f>
        <v>7154.32</v>
      </c>
      <c r="J2437" s="342">
        <v>187.32</v>
      </c>
      <c r="K2437" s="342">
        <v>366.18</v>
      </c>
      <c r="L2437" s="357">
        <f>IF(624.22=0, "-", 7707.82/624.22)</f>
        <v>12.347922206914228</v>
      </c>
      <c r="M2437" s="357">
        <v>13.05</v>
      </c>
      <c r="N2437" s="357">
        <f>IF(35.23=0, "-", 187.32/35.23)</f>
        <v>5.3170593244393984</v>
      </c>
      <c r="O2437" s="357">
        <f>IF(40.77=0, "-", 366.18/40.77)</f>
        <v>8.9816041206769679</v>
      </c>
      <c r="P2437" s="343"/>
      <c r="Q2437" s="343"/>
      <c r="R2437" s="343">
        <f ca="1">IF(ISERROR(VALUE(TRIM(INDIRECT(ADDRESS(ROW()-1, COLUMN(A2289)))))), INDIRECT(ADDRESS(ROW()-2, COLUMN(R2289)))+1, INDIRECT(ADDRESS(ROW()-1, COLUMN(R2289))))</f>
        <v>16</v>
      </c>
    </row>
    <row r="2438" spans="1:18" ht="36">
      <c r="A2438" s="339">
        <v>66.132999999999996</v>
      </c>
      <c r="B2438" s="334" t="s">
        <v>4334</v>
      </c>
      <c r="C2438" s="340" t="s">
        <v>4335</v>
      </c>
      <c r="D2438" s="341">
        <v>819.14</v>
      </c>
      <c r="E2438" s="341">
        <v>712.28</v>
      </c>
      <c r="F2438" s="341">
        <v>39.159999999999997</v>
      </c>
      <c r="G2438" s="341">
        <v>67.7</v>
      </c>
      <c r="H2438" s="342">
        <v>10113.68</v>
      </c>
      <c r="I2438" s="342">
        <f>9295.3</f>
        <v>9295.2999999999993</v>
      </c>
      <c r="J2438" s="342">
        <v>210.2</v>
      </c>
      <c r="K2438" s="342">
        <v>608.17999999999995</v>
      </c>
      <c r="L2438" s="357">
        <f>IF(819.14=0, "-", 10113.68/819.14)</f>
        <v>12.346705080938547</v>
      </c>
      <c r="M2438" s="357">
        <v>13.05</v>
      </c>
      <c r="N2438" s="357">
        <f>IF(39.16=0, "-", 210.2/39.16)</f>
        <v>5.3677221654749747</v>
      </c>
      <c r="O2438" s="357">
        <f>IF(67.7=0, "-", 608.18/67.7)</f>
        <v>8.983456425406203</v>
      </c>
      <c r="P2438" s="343"/>
      <c r="Q2438" s="343"/>
      <c r="R2438" s="343">
        <f ca="1">IF(ISERROR(VALUE(TRIM(INDIRECT(ADDRESS(ROW()-1, COLUMN(A2289)))))), INDIRECT(ADDRESS(ROW()-2, COLUMN(R2289)))+1, INDIRECT(ADDRESS(ROW()-1, COLUMN(R2289))))</f>
        <v>16</v>
      </c>
    </row>
    <row r="2439" spans="1:18" ht="36">
      <c r="A2439" s="339">
        <v>66.134</v>
      </c>
      <c r="B2439" s="334" t="s">
        <v>4336</v>
      </c>
      <c r="C2439" s="340" t="s">
        <v>4337</v>
      </c>
      <c r="D2439" s="341">
        <v>1008.6</v>
      </c>
      <c r="E2439" s="341">
        <v>885.51</v>
      </c>
      <c r="F2439" s="341">
        <v>42.6</v>
      </c>
      <c r="G2439" s="341">
        <v>80.489999999999995</v>
      </c>
      <c r="H2439" s="342">
        <v>12508.7</v>
      </c>
      <c r="I2439" s="342">
        <f>11555.96</f>
        <v>11555.96</v>
      </c>
      <c r="J2439" s="342">
        <v>229.64</v>
      </c>
      <c r="K2439" s="342">
        <v>723.1</v>
      </c>
      <c r="L2439" s="357">
        <f>IF(1008.6=0, "-", 12508.7/1008.6)</f>
        <v>12.402042435058497</v>
      </c>
      <c r="M2439" s="357">
        <v>13.05</v>
      </c>
      <c r="N2439" s="357">
        <f>IF(42.6=0, "-", 229.64/42.6)</f>
        <v>5.3906103286384974</v>
      </c>
      <c r="O2439" s="357">
        <f>IF(80.49=0, "-", 723.1/80.49)</f>
        <v>8.9837246862964353</v>
      </c>
      <c r="P2439" s="343"/>
      <c r="Q2439" s="343"/>
      <c r="R2439" s="343">
        <f ca="1">IF(ISERROR(VALUE(TRIM(INDIRECT(ADDRESS(ROW()-1, COLUMN(A2289)))))), INDIRECT(ADDRESS(ROW()-2, COLUMN(R2289)))+1, INDIRECT(ADDRESS(ROW()-1, COLUMN(R2289))))</f>
        <v>16</v>
      </c>
    </row>
    <row r="2440" spans="1:18" ht="36">
      <c r="A2440" s="339">
        <v>66.135000000000005</v>
      </c>
      <c r="B2440" s="334" t="s">
        <v>4338</v>
      </c>
      <c r="C2440" s="340" t="s">
        <v>4339</v>
      </c>
      <c r="D2440" s="341">
        <v>1179.6099999999999</v>
      </c>
      <c r="E2440" s="341">
        <v>1029.19</v>
      </c>
      <c r="F2440" s="341">
        <v>46.06</v>
      </c>
      <c r="G2440" s="341">
        <v>104.36</v>
      </c>
      <c r="H2440" s="342">
        <v>14617.69</v>
      </c>
      <c r="I2440" s="342">
        <f>13430.98</f>
        <v>13430.98</v>
      </c>
      <c r="J2440" s="342">
        <v>249.18</v>
      </c>
      <c r="K2440" s="342">
        <v>937.53</v>
      </c>
      <c r="L2440" s="357">
        <f>IF(1179.61=0, "-", 14617.69/1179.61)</f>
        <v>12.391968531972433</v>
      </c>
      <c r="M2440" s="357">
        <v>13.05</v>
      </c>
      <c r="N2440" s="357">
        <f>IF(46.06=0, "-", 249.18/46.06)</f>
        <v>5.4099001302648722</v>
      </c>
      <c r="O2440" s="357">
        <f>IF(104.36=0, "-", 937.53/104.36)</f>
        <v>8.9836144116519741</v>
      </c>
      <c r="P2440" s="343"/>
      <c r="Q2440" s="343"/>
      <c r="R2440" s="343">
        <f ca="1">IF(ISERROR(VALUE(TRIM(INDIRECT(ADDRESS(ROW()-1, COLUMN(A2289)))))), INDIRECT(ADDRESS(ROW()-2, COLUMN(R2289)))+1, INDIRECT(ADDRESS(ROW()-1, COLUMN(R2289))))</f>
        <v>16</v>
      </c>
    </row>
    <row r="2441" spans="1:18" ht="36">
      <c r="A2441" s="339">
        <v>66.135999999999996</v>
      </c>
      <c r="B2441" s="334" t="s">
        <v>4340</v>
      </c>
      <c r="C2441" s="340" t="s">
        <v>4341</v>
      </c>
      <c r="D2441" s="341">
        <v>1496.53</v>
      </c>
      <c r="E2441" s="341">
        <v>1314.51</v>
      </c>
      <c r="F2441" s="341">
        <v>52.68</v>
      </c>
      <c r="G2441" s="341">
        <v>129.34</v>
      </c>
      <c r="H2441" s="342">
        <v>18602.18</v>
      </c>
      <c r="I2441" s="342">
        <f>17154.42</f>
        <v>17154.419999999998</v>
      </c>
      <c r="J2441" s="342">
        <v>285.79000000000002</v>
      </c>
      <c r="K2441" s="342">
        <v>1161.97</v>
      </c>
      <c r="L2441" s="357">
        <f>IF(1496.53=0, "-", 18602.18/1496.53)</f>
        <v>12.430208549110276</v>
      </c>
      <c r="M2441" s="357">
        <v>13.05</v>
      </c>
      <c r="N2441" s="357">
        <f>IF(52.68=0, "-", 285.79/52.68)</f>
        <v>5.4250189825360673</v>
      </c>
      <c r="O2441" s="357">
        <f>IF(129.34=0, "-", 1161.97/129.34)</f>
        <v>8.9838410391216943</v>
      </c>
      <c r="P2441" s="343"/>
      <c r="Q2441" s="343"/>
      <c r="R2441" s="343">
        <f ca="1">IF(ISERROR(VALUE(TRIM(INDIRECT(ADDRESS(ROW()-1, COLUMN(A2289)))))), INDIRECT(ADDRESS(ROW()-2, COLUMN(R2289)))+1, INDIRECT(ADDRESS(ROW()-1, COLUMN(R2289))))</f>
        <v>16</v>
      </c>
    </row>
    <row r="2442" spans="1:18" ht="36">
      <c r="A2442" s="339">
        <v>66.137</v>
      </c>
      <c r="B2442" s="334" t="s">
        <v>4342</v>
      </c>
      <c r="C2442" s="340" t="s">
        <v>4343</v>
      </c>
      <c r="D2442" s="341">
        <v>1873.74</v>
      </c>
      <c r="E2442" s="341">
        <v>1660.97</v>
      </c>
      <c r="F2442" s="341">
        <v>58.97</v>
      </c>
      <c r="G2442" s="341">
        <v>153.80000000000001</v>
      </c>
      <c r="H2442" s="342">
        <v>23377.46</v>
      </c>
      <c r="I2442" s="342">
        <f>21675.74</f>
        <v>21675.74</v>
      </c>
      <c r="J2442" s="342">
        <v>319.93</v>
      </c>
      <c r="K2442" s="342">
        <v>1381.79</v>
      </c>
      <c r="L2442" s="357">
        <f>IF(1873.74=0, "-", 23377.46/1873.74)</f>
        <v>12.476362782456476</v>
      </c>
      <c r="M2442" s="357">
        <v>13.05</v>
      </c>
      <c r="N2442" s="357">
        <f>IF(58.97=0, "-", 319.93/58.97)</f>
        <v>5.4253010005087337</v>
      </c>
      <c r="O2442" s="357">
        <f>IF(153.8=0, "-", 1381.79/153.8)</f>
        <v>8.9843302990897254</v>
      </c>
      <c r="P2442" s="343"/>
      <c r="Q2442" s="343"/>
      <c r="R2442" s="343">
        <f ca="1">IF(ISERROR(VALUE(TRIM(INDIRECT(ADDRESS(ROW()-1, COLUMN(A2289)))))), INDIRECT(ADDRESS(ROW()-2, COLUMN(R2289)))+1, INDIRECT(ADDRESS(ROW()-1, COLUMN(R2289))))</f>
        <v>16</v>
      </c>
    </row>
    <row r="2443" spans="1:18" ht="36">
      <c r="A2443" s="339">
        <v>66.138000000000005</v>
      </c>
      <c r="B2443" s="334" t="s">
        <v>4344</v>
      </c>
      <c r="C2443" s="340" t="s">
        <v>4345</v>
      </c>
      <c r="D2443" s="341">
        <v>2091.7199999999998</v>
      </c>
      <c r="E2443" s="341">
        <v>1834.2</v>
      </c>
      <c r="F2443" s="341">
        <v>83.76</v>
      </c>
      <c r="G2443" s="341">
        <v>173.76</v>
      </c>
      <c r="H2443" s="342">
        <v>25945.8</v>
      </c>
      <c r="I2443" s="342">
        <f>23936.4</f>
        <v>23936.400000000001</v>
      </c>
      <c r="J2443" s="342">
        <v>448.3</v>
      </c>
      <c r="K2443" s="342">
        <v>1561.1</v>
      </c>
      <c r="L2443" s="357">
        <f>IF(2091.72=0, "-", 25945.8/2091.72)</f>
        <v>12.404050255292296</v>
      </c>
      <c r="M2443" s="357">
        <v>13.05</v>
      </c>
      <c r="N2443" s="357">
        <f>IF(83.76=0, "-", 448.3/83.76)</f>
        <v>5.3521967526265515</v>
      </c>
      <c r="O2443" s="357">
        <f>IF(173.76=0, "-", 1561.1/173.76)</f>
        <v>8.9842311233885823</v>
      </c>
      <c r="P2443" s="343"/>
      <c r="Q2443" s="343"/>
      <c r="R2443" s="343">
        <f ca="1">IF(ISERROR(VALUE(TRIM(INDIRECT(ADDRESS(ROW()-1, COLUMN(A2289)))))), INDIRECT(ADDRESS(ROW()-2, COLUMN(R2289)))+1, INDIRECT(ADDRESS(ROW()-1, COLUMN(R2289))))</f>
        <v>16</v>
      </c>
    </row>
    <row r="2444" spans="1:18" ht="36">
      <c r="A2444" s="339">
        <v>66.138999999999996</v>
      </c>
      <c r="B2444" s="334" t="s">
        <v>4346</v>
      </c>
      <c r="C2444" s="340" t="s">
        <v>4347</v>
      </c>
      <c r="D2444" s="341">
        <v>2406.54</v>
      </c>
      <c r="E2444" s="341">
        <v>2119.52</v>
      </c>
      <c r="F2444" s="341">
        <v>90.76</v>
      </c>
      <c r="G2444" s="341">
        <v>196.26</v>
      </c>
      <c r="H2444" s="342">
        <v>29911</v>
      </c>
      <c r="I2444" s="342">
        <f>27659.84</f>
        <v>27659.84</v>
      </c>
      <c r="J2444" s="342">
        <v>487.81</v>
      </c>
      <c r="K2444" s="342">
        <v>1763.35</v>
      </c>
      <c r="L2444" s="357">
        <f>IF(2406.54=0, "-", 29911/2406.54)</f>
        <v>12.429047512195933</v>
      </c>
      <c r="M2444" s="357">
        <v>13.05</v>
      </c>
      <c r="N2444" s="357">
        <f>IF(90.76=0, "-", 487.81/90.76)</f>
        <v>5.3747245482591444</v>
      </c>
      <c r="O2444" s="357">
        <f>IF(196.26=0, "-", 1763.35/196.26)</f>
        <v>8.9847651075104444</v>
      </c>
      <c r="P2444" s="343"/>
      <c r="Q2444" s="343"/>
      <c r="R2444" s="343">
        <f ca="1">IF(ISERROR(VALUE(TRIM(INDIRECT(ADDRESS(ROW()-1, COLUMN(A2289)))))), INDIRECT(ADDRESS(ROW()-2, COLUMN(R2289)))+1, INDIRECT(ADDRESS(ROW()-1, COLUMN(R2289))))</f>
        <v>16</v>
      </c>
    </row>
    <row r="2445" spans="1:18" ht="36">
      <c r="A2445" s="339">
        <v>66.14</v>
      </c>
      <c r="B2445" s="334" t="s">
        <v>4348</v>
      </c>
      <c r="C2445" s="340" t="s">
        <v>4349</v>
      </c>
      <c r="D2445" s="341">
        <v>3103.59</v>
      </c>
      <c r="E2445" s="341">
        <v>2700.35</v>
      </c>
      <c r="F2445" s="341">
        <v>99.09</v>
      </c>
      <c r="G2445" s="341">
        <v>304.14999999999998</v>
      </c>
      <c r="H2445" s="342">
        <v>38510.11</v>
      </c>
      <c r="I2445" s="342">
        <f>35239.7</f>
        <v>35239.699999999997</v>
      </c>
      <c r="J2445" s="342">
        <v>537.66999999999996</v>
      </c>
      <c r="K2445" s="342">
        <v>2732.74</v>
      </c>
      <c r="L2445" s="357">
        <f>IF(3103.59=0, "-", 38510.11/3103.59)</f>
        <v>12.408246578961782</v>
      </c>
      <c r="M2445" s="357">
        <v>13.05</v>
      </c>
      <c r="N2445" s="357">
        <f>IF(99.09=0, "-", 537.67/99.09)</f>
        <v>5.4260773034614989</v>
      </c>
      <c r="O2445" s="357">
        <f>IF(304.15=0, "-", 2732.74/304.15)</f>
        <v>8.9848430050961703</v>
      </c>
      <c r="P2445" s="343"/>
      <c r="Q2445" s="343"/>
      <c r="R2445" s="343">
        <f ca="1">IF(ISERROR(VALUE(TRIM(INDIRECT(ADDRESS(ROW()-1, COLUMN(A2289)))))), INDIRECT(ADDRESS(ROW()-2, COLUMN(R2289)))+1, INDIRECT(ADDRESS(ROW()-1, COLUMN(R2289))))</f>
        <v>16</v>
      </c>
    </row>
    <row r="2446" spans="1:18" ht="36">
      <c r="A2446" s="339">
        <v>66.141000000000005</v>
      </c>
      <c r="B2446" s="334" t="s">
        <v>4350</v>
      </c>
      <c r="C2446" s="340" t="s">
        <v>4351</v>
      </c>
      <c r="D2446" s="341">
        <v>4404.91</v>
      </c>
      <c r="E2446" s="341">
        <v>3698.97</v>
      </c>
      <c r="F2446" s="341">
        <v>109.9</v>
      </c>
      <c r="G2446" s="341">
        <v>596.04</v>
      </c>
      <c r="H2446" s="342">
        <v>54226.5</v>
      </c>
      <c r="I2446" s="342">
        <f>48271.74</f>
        <v>48271.74</v>
      </c>
      <c r="J2446" s="342">
        <v>599.41999999999996</v>
      </c>
      <c r="K2446" s="342">
        <v>5355.34</v>
      </c>
      <c r="L2446" s="357">
        <f>IF(4404.91=0, "-", 54226.5/4404.91)</f>
        <v>12.310467183211463</v>
      </c>
      <c r="M2446" s="357">
        <v>13.05</v>
      </c>
      <c r="N2446" s="357">
        <f>IF(109.9=0, "-", 599.42/109.9)</f>
        <v>5.4542311191992718</v>
      </c>
      <c r="O2446" s="357">
        <f>IF(596.04=0, "-", 5355.34/596.04)</f>
        <v>8.984866787463929</v>
      </c>
      <c r="P2446" s="343"/>
      <c r="Q2446" s="343"/>
      <c r="R2446" s="343">
        <f ca="1">IF(ISERROR(VALUE(TRIM(INDIRECT(ADDRESS(ROW()-1, COLUMN(A2289)))))), INDIRECT(ADDRESS(ROW()-2, COLUMN(R2289)))+1, INDIRECT(ADDRESS(ROW()-1, COLUMN(R2289))))</f>
        <v>16</v>
      </c>
    </row>
    <row r="2447" spans="1:18" ht="36">
      <c r="A2447" s="339">
        <v>66.141999999999996</v>
      </c>
      <c r="B2447" s="334" t="s">
        <v>4352</v>
      </c>
      <c r="C2447" s="340" t="s">
        <v>4353</v>
      </c>
      <c r="D2447" s="341">
        <v>5246.8</v>
      </c>
      <c r="E2447" s="341">
        <v>4432.6499999999996</v>
      </c>
      <c r="F2447" s="341">
        <v>122.82</v>
      </c>
      <c r="G2447" s="341">
        <v>691.33</v>
      </c>
      <c r="H2447" s="342">
        <v>64728.23</v>
      </c>
      <c r="I2447" s="342">
        <f>57846.3</f>
        <v>57846.3</v>
      </c>
      <c r="J2447" s="342">
        <v>670.27</v>
      </c>
      <c r="K2447" s="342">
        <v>6211.66</v>
      </c>
      <c r="L2447" s="357">
        <f>IF(5246.8=0, "-", 64728.23/5246.8)</f>
        <v>12.336706182816194</v>
      </c>
      <c r="M2447" s="357">
        <v>13.05</v>
      </c>
      <c r="N2447" s="357">
        <f>IF(122.82=0, "-", 670.27/122.82)</f>
        <v>5.4573359387721867</v>
      </c>
      <c r="O2447" s="357">
        <f>IF(691.33=0, "-", 6211.66/691.33)</f>
        <v>8.985086716907988</v>
      </c>
      <c r="P2447" s="343"/>
      <c r="Q2447" s="343"/>
      <c r="R2447" s="343">
        <f ca="1">IF(ISERROR(VALUE(TRIM(INDIRECT(ADDRESS(ROW()-1, COLUMN(A2289)))))), INDIRECT(ADDRESS(ROW()-2, COLUMN(R2289)))+1, INDIRECT(ADDRESS(ROW()-1, COLUMN(R2289))))</f>
        <v>16</v>
      </c>
    </row>
    <row r="2448" spans="1:18" ht="36">
      <c r="A2448" s="339">
        <v>66.143000000000001</v>
      </c>
      <c r="B2448" s="334" t="s">
        <v>4354</v>
      </c>
      <c r="C2448" s="340" t="s">
        <v>4355</v>
      </c>
      <c r="D2448" s="341">
        <v>363.52</v>
      </c>
      <c r="E2448" s="341">
        <v>333.21</v>
      </c>
      <c r="F2448" s="341">
        <v>23.14</v>
      </c>
      <c r="G2448" s="341">
        <v>7.17</v>
      </c>
      <c r="H2448" s="342">
        <v>4535.43</v>
      </c>
      <c r="I2448" s="342">
        <f>4348.45</f>
        <v>4348.45</v>
      </c>
      <c r="J2448" s="342">
        <v>122.59</v>
      </c>
      <c r="K2448" s="342">
        <v>64.39</v>
      </c>
      <c r="L2448" s="357">
        <f>IF(363.52=0, "-", 4535.43/363.52)</f>
        <v>12.476424955985918</v>
      </c>
      <c r="M2448" s="357">
        <v>13.05</v>
      </c>
      <c r="N2448" s="357">
        <f>IF(23.14=0, "-", 122.59/23.14)</f>
        <v>5.297752808988764</v>
      </c>
      <c r="O2448" s="357">
        <f>IF(7.17=0, "-", 64.39/7.17)</f>
        <v>8.9804741980474194</v>
      </c>
      <c r="P2448" s="343"/>
      <c r="Q2448" s="343"/>
      <c r="R2448" s="343">
        <f ca="1">IF(ISERROR(VALUE(TRIM(INDIRECT(ADDRESS(ROW()-1, COLUMN(A2289)))))), INDIRECT(ADDRESS(ROW()-2, COLUMN(R2289)))+1, INDIRECT(ADDRESS(ROW()-1, COLUMN(R2289))))</f>
        <v>16</v>
      </c>
    </row>
    <row r="2449" spans="1:18" ht="36">
      <c r="A2449" s="339">
        <v>66.144000000000005</v>
      </c>
      <c r="B2449" s="334" t="s">
        <v>4356</v>
      </c>
      <c r="C2449" s="340" t="s">
        <v>4357</v>
      </c>
      <c r="D2449" s="341">
        <v>379</v>
      </c>
      <c r="E2449" s="341">
        <v>344.42</v>
      </c>
      <c r="F2449" s="341">
        <v>23.49</v>
      </c>
      <c r="G2449" s="341">
        <v>11.09</v>
      </c>
      <c r="H2449" s="342">
        <v>4719.53</v>
      </c>
      <c r="I2449" s="342">
        <f>4494.72</f>
        <v>4494.72</v>
      </c>
      <c r="J2449" s="342">
        <v>125.28</v>
      </c>
      <c r="K2449" s="342">
        <v>99.53</v>
      </c>
      <c r="L2449" s="357">
        <f>IF(379=0, "-", 4719.53/379)</f>
        <v>12.452585751978891</v>
      </c>
      <c r="M2449" s="357">
        <v>13.05</v>
      </c>
      <c r="N2449" s="357">
        <f>IF(23.49=0, "-", 125.28/23.49)</f>
        <v>5.3333333333333339</v>
      </c>
      <c r="O2449" s="357">
        <f>IF(11.09=0, "-", 99.53/11.09)</f>
        <v>8.9747520288548248</v>
      </c>
      <c r="P2449" s="343"/>
      <c r="Q2449" s="343"/>
      <c r="R2449" s="343">
        <f ca="1">IF(ISERROR(VALUE(TRIM(INDIRECT(ADDRESS(ROW()-1, COLUMN(A2289)))))), INDIRECT(ADDRESS(ROW()-2, COLUMN(R2289)))+1, INDIRECT(ADDRESS(ROW()-1, COLUMN(R2289))))</f>
        <v>16</v>
      </c>
    </row>
    <row r="2450" spans="1:18" ht="36">
      <c r="A2450" s="339">
        <v>66.144999999999996</v>
      </c>
      <c r="B2450" s="334" t="s">
        <v>4358</v>
      </c>
      <c r="C2450" s="340" t="s">
        <v>4359</v>
      </c>
      <c r="D2450" s="341">
        <v>499.56</v>
      </c>
      <c r="E2450" s="341">
        <v>462.63</v>
      </c>
      <c r="F2450" s="341">
        <v>23.49</v>
      </c>
      <c r="G2450" s="341">
        <v>13.44</v>
      </c>
      <c r="H2450" s="342">
        <v>6283.2</v>
      </c>
      <c r="I2450" s="342">
        <f>6037.29</f>
        <v>6037.29</v>
      </c>
      <c r="J2450" s="342">
        <v>125.28</v>
      </c>
      <c r="K2450" s="342">
        <v>120.63</v>
      </c>
      <c r="L2450" s="357">
        <f>IF(499.56=0, "-", 6283.2/499.56)</f>
        <v>12.577468171991352</v>
      </c>
      <c r="M2450" s="357">
        <v>13.05</v>
      </c>
      <c r="N2450" s="357">
        <f>IF(23.49=0, "-", 125.28/23.49)</f>
        <v>5.3333333333333339</v>
      </c>
      <c r="O2450" s="357">
        <f>IF(13.44=0, "-", 120.63/13.44)</f>
        <v>8.9754464285714288</v>
      </c>
      <c r="P2450" s="343"/>
      <c r="Q2450" s="343"/>
      <c r="R2450" s="343">
        <f ca="1">IF(ISERROR(VALUE(TRIM(INDIRECT(ADDRESS(ROW()-1, COLUMN(A2289)))))), INDIRECT(ADDRESS(ROW()-2, COLUMN(R2289)))+1, INDIRECT(ADDRESS(ROW()-1, COLUMN(R2289))))</f>
        <v>16</v>
      </c>
    </row>
    <row r="2451" spans="1:18" ht="36">
      <c r="A2451" s="339">
        <v>66.146000000000001</v>
      </c>
      <c r="B2451" s="334" t="s">
        <v>4360</v>
      </c>
      <c r="C2451" s="340" t="s">
        <v>4361</v>
      </c>
      <c r="D2451" s="341">
        <v>538.70000000000005</v>
      </c>
      <c r="E2451" s="341">
        <v>490.14</v>
      </c>
      <c r="F2451" s="341">
        <v>23.84</v>
      </c>
      <c r="G2451" s="341">
        <v>24.72</v>
      </c>
      <c r="H2451" s="342">
        <v>6746.3</v>
      </c>
      <c r="I2451" s="342">
        <f>6396.34</f>
        <v>6396.34</v>
      </c>
      <c r="J2451" s="342">
        <v>127.97</v>
      </c>
      <c r="K2451" s="342">
        <v>221.99</v>
      </c>
      <c r="L2451" s="357">
        <f>IF(538.7=0, "-", 6746.3/538.7)</f>
        <v>12.523296825691478</v>
      </c>
      <c r="M2451" s="357">
        <v>13.05</v>
      </c>
      <c r="N2451" s="357">
        <f>IF(23.84=0, "-", 127.97/23.84)</f>
        <v>5.3678691275167782</v>
      </c>
      <c r="O2451" s="357">
        <f>IF(24.72=0, "-", 221.99/24.72)</f>
        <v>8.9801779935275086</v>
      </c>
      <c r="P2451" s="343"/>
      <c r="Q2451" s="343"/>
      <c r="R2451" s="343">
        <f ca="1">IF(ISERROR(VALUE(TRIM(INDIRECT(ADDRESS(ROW()-1, COLUMN(A2289)))))), INDIRECT(ADDRESS(ROW()-2, COLUMN(R2289)))+1, INDIRECT(ADDRESS(ROW()-1, COLUMN(R2289))))</f>
        <v>16</v>
      </c>
    </row>
    <row r="2452" spans="1:18" ht="12.75">
      <c r="A2452" s="426" t="s">
        <v>4362</v>
      </c>
      <c r="B2452" s="427"/>
      <c r="C2452" s="427"/>
      <c r="D2452" s="427"/>
      <c r="E2452" s="427"/>
      <c r="F2452" s="427"/>
      <c r="G2452" s="427"/>
      <c r="H2452" s="427"/>
      <c r="I2452" s="427"/>
      <c r="J2452" s="427"/>
      <c r="K2452" s="427"/>
      <c r="L2452" s="427"/>
      <c r="M2452" s="427"/>
      <c r="N2452" s="427"/>
      <c r="O2452" s="427"/>
      <c r="P2452" s="427"/>
      <c r="Q2452" s="427"/>
      <c r="R2452" s="427"/>
    </row>
    <row r="2453" spans="1:18" ht="36">
      <c r="A2453" s="339">
        <v>66.147000000000006</v>
      </c>
      <c r="B2453" s="334" t="s">
        <v>4363</v>
      </c>
      <c r="C2453" s="340" t="s">
        <v>4364</v>
      </c>
      <c r="D2453" s="341">
        <v>974.54</v>
      </c>
      <c r="E2453" s="341">
        <v>538.33000000000004</v>
      </c>
      <c r="F2453" s="341">
        <v>429.04</v>
      </c>
      <c r="G2453" s="341">
        <v>7.17</v>
      </c>
      <c r="H2453" s="342">
        <v>10910.13</v>
      </c>
      <c r="I2453" s="342">
        <f>7025.47</f>
        <v>7025.47</v>
      </c>
      <c r="J2453" s="342">
        <v>3820.27</v>
      </c>
      <c r="K2453" s="342">
        <v>64.39</v>
      </c>
      <c r="L2453" s="357">
        <f>IF(974.54=0, "-", 10910.13/974.54)</f>
        <v>11.195158741560121</v>
      </c>
      <c r="M2453" s="357">
        <v>13.05</v>
      </c>
      <c r="N2453" s="357">
        <f>IF(429.04=0, "-", 3820.27/429.04)</f>
        <v>8.9042280440052206</v>
      </c>
      <c r="O2453" s="357">
        <f>IF(7.17=0, "-", 64.39/7.17)</f>
        <v>8.9804741980474194</v>
      </c>
      <c r="P2453" s="343"/>
      <c r="Q2453" s="343"/>
      <c r="R2453" s="343">
        <f ca="1">IF(ISERROR(VALUE(TRIM(INDIRECT(ADDRESS(ROW()-1, COLUMN(A2289)))))), INDIRECT(ADDRESS(ROW()-2, COLUMN(R2289)))+1, INDIRECT(ADDRESS(ROW()-1, COLUMN(R2289))))</f>
        <v>17</v>
      </c>
    </row>
    <row r="2454" spans="1:18" ht="36">
      <c r="A2454" s="339">
        <v>66.147999999999996</v>
      </c>
      <c r="B2454" s="334" t="s">
        <v>4365</v>
      </c>
      <c r="C2454" s="340" t="s">
        <v>4366</v>
      </c>
      <c r="D2454" s="341">
        <v>989.93</v>
      </c>
      <c r="E2454" s="341">
        <v>549.44000000000005</v>
      </c>
      <c r="F2454" s="341">
        <v>429.4</v>
      </c>
      <c r="G2454" s="341">
        <v>11.09</v>
      </c>
      <c r="H2454" s="342">
        <v>11092.95</v>
      </c>
      <c r="I2454" s="342">
        <f>7170.46</f>
        <v>7170.46</v>
      </c>
      <c r="J2454" s="342">
        <v>3822.96</v>
      </c>
      <c r="K2454" s="342">
        <v>99.53</v>
      </c>
      <c r="L2454" s="357">
        <f>IF(989.93=0, "-", 11092.95/989.93)</f>
        <v>11.205792328750519</v>
      </c>
      <c r="M2454" s="357">
        <v>13.05</v>
      </c>
      <c r="N2454" s="357">
        <f>IF(429.4=0, "-", 3822.96/429.4)</f>
        <v>8.9030274802049369</v>
      </c>
      <c r="O2454" s="357">
        <f>IF(11.09=0, "-", 99.53/11.09)</f>
        <v>8.9747520288548248</v>
      </c>
      <c r="P2454" s="343"/>
      <c r="Q2454" s="343"/>
      <c r="R2454" s="343">
        <f ca="1">IF(ISERROR(VALUE(TRIM(INDIRECT(ADDRESS(ROW()-1, COLUMN(A2289)))))), INDIRECT(ADDRESS(ROW()-2, COLUMN(R2289)))+1, INDIRECT(ADDRESS(ROW()-1, COLUMN(R2289))))</f>
        <v>17</v>
      </c>
    </row>
    <row r="2455" spans="1:18" ht="36">
      <c r="A2455" s="339">
        <v>66.149000000000001</v>
      </c>
      <c r="B2455" s="334" t="s">
        <v>4367</v>
      </c>
      <c r="C2455" s="340" t="s">
        <v>4368</v>
      </c>
      <c r="D2455" s="341">
        <v>1189.6199999999999</v>
      </c>
      <c r="E2455" s="341">
        <v>666.6</v>
      </c>
      <c r="F2455" s="341">
        <v>509.58</v>
      </c>
      <c r="G2455" s="341">
        <v>13.44</v>
      </c>
      <c r="H2455" s="342">
        <v>13373.46</v>
      </c>
      <c r="I2455" s="342">
        <f>8699.46</f>
        <v>8699.4599999999991</v>
      </c>
      <c r="J2455" s="342">
        <v>4553.37</v>
      </c>
      <c r="K2455" s="342">
        <v>120.63</v>
      </c>
      <c r="L2455" s="357">
        <f>IF(1189.62=0, "-", 13373.46/1189.62)</f>
        <v>11.241791496444243</v>
      </c>
      <c r="M2455" s="357">
        <v>13.05</v>
      </c>
      <c r="N2455" s="357">
        <f>IF(509.58=0, "-", 4553.37/509.58)</f>
        <v>8.9355351465913113</v>
      </c>
      <c r="O2455" s="357">
        <f>IF(13.44=0, "-", 120.63/13.44)</f>
        <v>8.9754464285714288</v>
      </c>
      <c r="P2455" s="343"/>
      <c r="Q2455" s="343"/>
      <c r="R2455" s="343">
        <f ca="1">IF(ISERROR(VALUE(TRIM(INDIRECT(ADDRESS(ROW()-1, COLUMN(A2289)))))), INDIRECT(ADDRESS(ROW()-2, COLUMN(R2289)))+1, INDIRECT(ADDRESS(ROW()-1, COLUMN(R2289))))</f>
        <v>17</v>
      </c>
    </row>
    <row r="2456" spans="1:18" ht="36">
      <c r="A2456" s="339">
        <v>66.150000000000006</v>
      </c>
      <c r="B2456" s="334" t="s">
        <v>4369</v>
      </c>
      <c r="C2456" s="340" t="s">
        <v>4370</v>
      </c>
      <c r="D2456" s="341">
        <v>1228.52</v>
      </c>
      <c r="E2456" s="341">
        <v>693.87</v>
      </c>
      <c r="F2456" s="341">
        <v>509.93</v>
      </c>
      <c r="G2456" s="341">
        <v>24.72</v>
      </c>
      <c r="H2456" s="342">
        <v>13833.4</v>
      </c>
      <c r="I2456" s="342">
        <f>9055.35</f>
        <v>9055.35</v>
      </c>
      <c r="J2456" s="342">
        <v>4556.0600000000004</v>
      </c>
      <c r="K2456" s="342">
        <v>221.99</v>
      </c>
      <c r="L2456" s="357">
        <f>IF(1228.52=0, "-", 13833.4/1228.52)</f>
        <v>11.260215543906488</v>
      </c>
      <c r="M2456" s="357">
        <v>13.05</v>
      </c>
      <c r="N2456" s="357">
        <f>IF(509.93=0, "-", 4556.06/509.93)</f>
        <v>8.9346773086502083</v>
      </c>
      <c r="O2456" s="357">
        <f>IF(24.72=0, "-", 221.99/24.72)</f>
        <v>8.9801779935275086</v>
      </c>
      <c r="P2456" s="343"/>
      <c r="Q2456" s="343"/>
      <c r="R2456" s="343">
        <f ca="1">IF(ISERROR(VALUE(TRIM(INDIRECT(ADDRESS(ROW()-1, COLUMN(A2289)))))), INDIRECT(ADDRESS(ROW()-2, COLUMN(R2289)))+1, INDIRECT(ADDRESS(ROW()-1, COLUMN(R2289))))</f>
        <v>17</v>
      </c>
    </row>
    <row r="2457" spans="1:18" ht="36">
      <c r="A2457" s="339">
        <v>66.150999999999996</v>
      </c>
      <c r="B2457" s="334" t="s">
        <v>4371</v>
      </c>
      <c r="C2457" s="340" t="s">
        <v>4372</v>
      </c>
      <c r="D2457" s="341">
        <v>1486.7</v>
      </c>
      <c r="E2457" s="341">
        <v>855.47</v>
      </c>
      <c r="F2457" s="341">
        <v>590.46</v>
      </c>
      <c r="G2457" s="341">
        <v>40.770000000000003</v>
      </c>
      <c r="H2457" s="342">
        <v>16819.650000000001</v>
      </c>
      <c r="I2457" s="342">
        <f>11164.31</f>
        <v>11164.31</v>
      </c>
      <c r="J2457" s="342">
        <v>5289.16</v>
      </c>
      <c r="K2457" s="342">
        <v>366.18</v>
      </c>
      <c r="L2457" s="357">
        <f>IF(1486.7=0, "-", 16819.65/1486.7)</f>
        <v>11.313412255330599</v>
      </c>
      <c r="M2457" s="357">
        <v>13.05</v>
      </c>
      <c r="N2457" s="357">
        <f>IF(590.46=0, "-", 5289.16/590.46)</f>
        <v>8.9576940012871304</v>
      </c>
      <c r="O2457" s="357">
        <f>IF(40.77=0, "-", 366.18/40.77)</f>
        <v>8.9816041206769679</v>
      </c>
      <c r="P2457" s="343"/>
      <c r="Q2457" s="343"/>
      <c r="R2457" s="343">
        <f ca="1">IF(ISERROR(VALUE(TRIM(INDIRECT(ADDRESS(ROW()-1, COLUMN(A2289)))))), INDIRECT(ADDRESS(ROW()-2, COLUMN(R2289)))+1, INDIRECT(ADDRESS(ROW()-1, COLUMN(R2289))))</f>
        <v>17</v>
      </c>
    </row>
    <row r="2458" spans="1:18" ht="36">
      <c r="A2458" s="339">
        <v>66.152000000000001</v>
      </c>
      <c r="B2458" s="334" t="s">
        <v>4373</v>
      </c>
      <c r="C2458" s="340" t="s">
        <v>4374</v>
      </c>
      <c r="D2458" s="341">
        <v>1762.05</v>
      </c>
      <c r="E2458" s="341">
        <v>1020.1</v>
      </c>
      <c r="F2458" s="341">
        <v>674.25</v>
      </c>
      <c r="G2458" s="341">
        <v>67.7</v>
      </c>
      <c r="H2458" s="342">
        <v>19971.78</v>
      </c>
      <c r="I2458" s="342">
        <f>13312.81</f>
        <v>13312.81</v>
      </c>
      <c r="J2458" s="342">
        <v>6050.79</v>
      </c>
      <c r="K2458" s="342">
        <v>608.17999999999995</v>
      </c>
      <c r="L2458" s="357">
        <f>IF(1762.05=0, "-", 19971.78/1762.05)</f>
        <v>11.334400272409976</v>
      </c>
      <c r="M2458" s="357">
        <v>13.05</v>
      </c>
      <c r="N2458" s="357">
        <f>IF(674.25=0, "-", 6050.79/674.25)</f>
        <v>8.974104560622914</v>
      </c>
      <c r="O2458" s="357">
        <f>IF(67.7=0, "-", 608.18/67.7)</f>
        <v>8.983456425406203</v>
      </c>
      <c r="P2458" s="343"/>
      <c r="Q2458" s="343"/>
      <c r="R2458" s="343">
        <f ca="1">IF(ISERROR(VALUE(TRIM(INDIRECT(ADDRESS(ROW()-1, COLUMN(A2289)))))), INDIRECT(ADDRESS(ROW()-2, COLUMN(R2289)))+1, INDIRECT(ADDRESS(ROW()-1, COLUMN(R2289))))</f>
        <v>17</v>
      </c>
    </row>
    <row r="2459" spans="1:18" ht="36">
      <c r="A2459" s="339">
        <v>66.153000000000006</v>
      </c>
      <c r="B2459" s="334" t="s">
        <v>4375</v>
      </c>
      <c r="C2459" s="340" t="s">
        <v>4376</v>
      </c>
      <c r="D2459" s="341">
        <v>2392.2800000000002</v>
      </c>
      <c r="E2459" s="341">
        <v>1393.8</v>
      </c>
      <c r="F2459" s="341">
        <v>917.99</v>
      </c>
      <c r="G2459" s="341">
        <v>80.489999999999995</v>
      </c>
      <c r="H2459" s="342">
        <v>27183.09</v>
      </c>
      <c r="I2459" s="342">
        <f>18189.78</f>
        <v>18189.78</v>
      </c>
      <c r="J2459" s="342">
        <v>8270.2099999999991</v>
      </c>
      <c r="K2459" s="342">
        <v>723.1</v>
      </c>
      <c r="L2459" s="357">
        <f>IF(2392.28=0, "-", 27183.09/2392.28)</f>
        <v>11.362837962111458</v>
      </c>
      <c r="M2459" s="357">
        <v>13.05</v>
      </c>
      <c r="N2459" s="357">
        <f>IF(917.99=0, "-", 8270.21/917.99)</f>
        <v>9.009041492826718</v>
      </c>
      <c r="O2459" s="357">
        <f>IF(80.49=0, "-", 723.1/80.49)</f>
        <v>8.9837246862964353</v>
      </c>
      <c r="P2459" s="343"/>
      <c r="Q2459" s="343"/>
      <c r="R2459" s="343">
        <f ca="1">IF(ISERROR(VALUE(TRIM(INDIRECT(ADDRESS(ROW()-1, COLUMN(A2289)))))), INDIRECT(ADDRESS(ROW()-2, COLUMN(R2289)))+1, INDIRECT(ADDRESS(ROW()-1, COLUMN(R2289))))</f>
        <v>17</v>
      </c>
    </row>
    <row r="2460" spans="1:18" ht="36">
      <c r="A2460" s="339">
        <v>66.153999999999996</v>
      </c>
      <c r="B2460" s="334" t="s">
        <v>4377</v>
      </c>
      <c r="C2460" s="340" t="s">
        <v>4378</v>
      </c>
      <c r="D2460" s="341">
        <v>2648.55</v>
      </c>
      <c r="E2460" s="341">
        <v>1545.3</v>
      </c>
      <c r="F2460" s="341">
        <v>998.89</v>
      </c>
      <c r="G2460" s="341">
        <v>104.36</v>
      </c>
      <c r="H2460" s="342">
        <v>30110.560000000001</v>
      </c>
      <c r="I2460" s="342">
        <f>20166.93</f>
        <v>20166.93</v>
      </c>
      <c r="J2460" s="342">
        <v>9006.1</v>
      </c>
      <c r="K2460" s="342">
        <v>937.53</v>
      </c>
      <c r="L2460" s="357">
        <f>IF(2648.55=0, "-", 30110.56/2648.55)</f>
        <v>11.368696078986614</v>
      </c>
      <c r="M2460" s="357">
        <v>13.05</v>
      </c>
      <c r="N2460" s="357">
        <f>IF(998.89=0, "-", 9006.1/998.89)</f>
        <v>9.0161078797465191</v>
      </c>
      <c r="O2460" s="357">
        <f>IF(104.36=0, "-", 937.53/104.36)</f>
        <v>8.9836144116519741</v>
      </c>
      <c r="P2460" s="343"/>
      <c r="Q2460" s="343"/>
      <c r="R2460" s="343">
        <f ca="1">IF(ISERROR(VALUE(TRIM(INDIRECT(ADDRESS(ROW()-1, COLUMN(A2289)))))), INDIRECT(ADDRESS(ROW()-2, COLUMN(R2289)))+1, INDIRECT(ADDRESS(ROW()-1, COLUMN(R2289))))</f>
        <v>17</v>
      </c>
    </row>
    <row r="2461" spans="1:18" ht="36">
      <c r="A2461" s="339">
        <v>66.155000000000001</v>
      </c>
      <c r="B2461" s="334" t="s">
        <v>4379</v>
      </c>
      <c r="C2461" s="340" t="s">
        <v>4380</v>
      </c>
      <c r="D2461" s="341">
        <v>3301.43</v>
      </c>
      <c r="E2461" s="341">
        <v>1929.1</v>
      </c>
      <c r="F2461" s="341">
        <v>1242.99</v>
      </c>
      <c r="G2461" s="341">
        <v>129.34</v>
      </c>
      <c r="H2461" s="342">
        <v>37565.89</v>
      </c>
      <c r="I2461" s="342">
        <f>25175.71</f>
        <v>25175.71</v>
      </c>
      <c r="J2461" s="342">
        <v>11228.21</v>
      </c>
      <c r="K2461" s="342">
        <v>1161.97</v>
      </c>
      <c r="L2461" s="357">
        <f>IF(3301.43=0, "-", 37565.89/3301.43)</f>
        <v>11.37867227231836</v>
      </c>
      <c r="M2461" s="357">
        <v>13.05</v>
      </c>
      <c r="N2461" s="357">
        <f>IF(1242.99=0, "-", 11228.21/1242.99)</f>
        <v>9.0332263332770175</v>
      </c>
      <c r="O2461" s="357">
        <f>IF(129.34=0, "-", 1161.97/129.34)</f>
        <v>8.9838410391216943</v>
      </c>
      <c r="P2461" s="343"/>
      <c r="Q2461" s="343"/>
      <c r="R2461" s="343">
        <f ca="1">IF(ISERROR(VALUE(TRIM(INDIRECT(ADDRESS(ROW()-1, COLUMN(A2289)))))), INDIRECT(ADDRESS(ROW()-2, COLUMN(R2289)))+1, INDIRECT(ADDRESS(ROW()-1, COLUMN(R2289))))</f>
        <v>17</v>
      </c>
    </row>
    <row r="2462" spans="1:18" ht="36">
      <c r="A2462" s="339">
        <v>66.156000000000006</v>
      </c>
      <c r="B2462" s="334" t="s">
        <v>4381</v>
      </c>
      <c r="C2462" s="340" t="s">
        <v>4382</v>
      </c>
      <c r="D2462" s="341">
        <v>3651.79</v>
      </c>
      <c r="E2462" s="341">
        <v>2181.6</v>
      </c>
      <c r="F2462" s="341">
        <v>1316.39</v>
      </c>
      <c r="G2462" s="341">
        <v>153.80000000000001</v>
      </c>
      <c r="H2462" s="342">
        <v>41748.49</v>
      </c>
      <c r="I2462" s="342">
        <f>28470.96</f>
        <v>28470.959999999999</v>
      </c>
      <c r="J2462" s="342">
        <v>11895.74</v>
      </c>
      <c r="K2462" s="342">
        <v>1381.79</v>
      </c>
      <c r="L2462" s="357">
        <f>IF(3651.79=0, "-", 41748.49/3651.79)</f>
        <v>11.432335922930946</v>
      </c>
      <c r="M2462" s="357">
        <v>13.05</v>
      </c>
      <c r="N2462" s="357">
        <f>IF(1316.39=0, "-", 11895.74/1316.39)</f>
        <v>9.0366380783810261</v>
      </c>
      <c r="O2462" s="357">
        <f>IF(153.8=0, "-", 1381.79/153.8)</f>
        <v>8.9843302990897254</v>
      </c>
      <c r="P2462" s="343"/>
      <c r="Q2462" s="343"/>
      <c r="R2462" s="343">
        <f ca="1">IF(ISERROR(VALUE(TRIM(INDIRECT(ADDRESS(ROW()-1, COLUMN(A2289)))))), INDIRECT(ADDRESS(ROW()-2, COLUMN(R2289)))+1, INDIRECT(ADDRESS(ROW()-1, COLUMN(R2289))))</f>
        <v>17</v>
      </c>
    </row>
    <row r="2463" spans="1:18" ht="36">
      <c r="A2463" s="339">
        <v>66.156999999999996</v>
      </c>
      <c r="B2463" s="334" t="s">
        <v>4383</v>
      </c>
      <c r="C2463" s="340" t="s">
        <v>4384</v>
      </c>
      <c r="D2463" s="341">
        <v>4126.78</v>
      </c>
      <c r="E2463" s="341">
        <v>2444.1999999999998</v>
      </c>
      <c r="F2463" s="341">
        <v>1508.82</v>
      </c>
      <c r="G2463" s="341">
        <v>173.76</v>
      </c>
      <c r="H2463" s="342">
        <v>47021.29</v>
      </c>
      <c r="I2463" s="342">
        <f>31898.02</f>
        <v>31898.02</v>
      </c>
      <c r="J2463" s="342">
        <v>13562.17</v>
      </c>
      <c r="K2463" s="342">
        <v>1561.1</v>
      </c>
      <c r="L2463" s="357">
        <f>IF(4126.78=0, "-", 47021.29/4126.78)</f>
        <v>11.394183843093163</v>
      </c>
      <c r="M2463" s="357">
        <v>13.05</v>
      </c>
      <c r="N2463" s="357">
        <f>IF(1508.82=0, "-", 13562.17/1508.82)</f>
        <v>8.9885937355019152</v>
      </c>
      <c r="O2463" s="357">
        <f>IF(173.76=0, "-", 1561.1/173.76)</f>
        <v>8.9842311233885823</v>
      </c>
      <c r="P2463" s="343"/>
      <c r="Q2463" s="343"/>
      <c r="R2463" s="343">
        <f ca="1">IF(ISERROR(VALUE(TRIM(INDIRECT(ADDRESS(ROW()-1, COLUMN(A2289)))))), INDIRECT(ADDRESS(ROW()-2, COLUMN(R2289)))+1, INDIRECT(ADDRESS(ROW()-1, COLUMN(R2289))))</f>
        <v>17</v>
      </c>
    </row>
    <row r="2464" spans="1:18" ht="36">
      <c r="A2464" s="339">
        <v>66.158000000000001</v>
      </c>
      <c r="B2464" s="334" t="s">
        <v>4385</v>
      </c>
      <c r="C2464" s="340" t="s">
        <v>4386</v>
      </c>
      <c r="D2464" s="341">
        <v>4596.38</v>
      </c>
      <c r="E2464" s="341">
        <v>2727</v>
      </c>
      <c r="F2464" s="341">
        <v>1673.12</v>
      </c>
      <c r="G2464" s="341">
        <v>196.26</v>
      </c>
      <c r="H2464" s="342">
        <v>52408.82</v>
      </c>
      <c r="I2464" s="342">
        <f>35588.7</f>
        <v>35588.699999999997</v>
      </c>
      <c r="J2464" s="342">
        <v>15056.77</v>
      </c>
      <c r="K2464" s="342">
        <v>1763.35</v>
      </c>
      <c r="L2464" s="357">
        <f>IF(4596.38=0, "-", 52408.82/4596.38)</f>
        <v>11.40219477066735</v>
      </c>
      <c r="M2464" s="357">
        <v>13.05</v>
      </c>
      <c r="N2464" s="357">
        <f>IF(1673.12=0, "-", 15056.77/1673.12)</f>
        <v>8.9992170316534388</v>
      </c>
      <c r="O2464" s="357">
        <f>IF(196.26=0, "-", 1763.35/196.26)</f>
        <v>8.9847651075104444</v>
      </c>
      <c r="P2464" s="343"/>
      <c r="Q2464" s="343"/>
      <c r="R2464" s="343">
        <f ca="1">IF(ISERROR(VALUE(TRIM(INDIRECT(ADDRESS(ROW()-1, COLUMN(A2289)))))), INDIRECT(ADDRESS(ROW()-2, COLUMN(R2289)))+1, INDIRECT(ADDRESS(ROW()-1, COLUMN(R2289))))</f>
        <v>17</v>
      </c>
    </row>
    <row r="2465" spans="1:18" ht="36">
      <c r="A2465" s="339">
        <v>66.159000000000006</v>
      </c>
      <c r="B2465" s="334" t="s">
        <v>4387</v>
      </c>
      <c r="C2465" s="340" t="s">
        <v>4388</v>
      </c>
      <c r="D2465" s="341">
        <v>5251.9</v>
      </c>
      <c r="E2465" s="341">
        <v>3191.6</v>
      </c>
      <c r="F2465" s="341">
        <v>1756.15</v>
      </c>
      <c r="G2465" s="341">
        <v>304.14999999999998</v>
      </c>
      <c r="H2465" s="342">
        <v>60193.62</v>
      </c>
      <c r="I2465" s="342">
        <f>41651.96</f>
        <v>41651.96</v>
      </c>
      <c r="J2465" s="342">
        <v>15808.92</v>
      </c>
      <c r="K2465" s="342">
        <v>2732.74</v>
      </c>
      <c r="L2465" s="357">
        <f>IF(5251.9=0, "-", 60193.62/5251.9)</f>
        <v>11.461303528246921</v>
      </c>
      <c r="M2465" s="357">
        <v>13.05</v>
      </c>
      <c r="N2465" s="357">
        <f>IF(1756.15=0, "-", 15808.92/1756.15)</f>
        <v>9.0020328559633285</v>
      </c>
      <c r="O2465" s="357">
        <f>IF(304.15=0, "-", 2732.74/304.15)</f>
        <v>8.9848430050961703</v>
      </c>
      <c r="P2465" s="343"/>
      <c r="Q2465" s="343"/>
      <c r="R2465" s="343">
        <f ca="1">IF(ISERROR(VALUE(TRIM(INDIRECT(ADDRESS(ROW()-1, COLUMN(A2289)))))), INDIRECT(ADDRESS(ROW()-2, COLUMN(R2289)))+1, INDIRECT(ADDRESS(ROW()-1, COLUMN(R2289))))</f>
        <v>17</v>
      </c>
    </row>
    <row r="2466" spans="1:18" ht="36">
      <c r="A2466" s="339">
        <v>66.16</v>
      </c>
      <c r="B2466" s="334" t="s">
        <v>4389</v>
      </c>
      <c r="C2466" s="340" t="s">
        <v>4390</v>
      </c>
      <c r="D2466" s="341">
        <v>6960.32</v>
      </c>
      <c r="E2466" s="341">
        <v>4282.3999999999996</v>
      </c>
      <c r="F2466" s="341">
        <v>2081.88</v>
      </c>
      <c r="G2466" s="341">
        <v>596.04</v>
      </c>
      <c r="H2466" s="342">
        <v>80015.3</v>
      </c>
      <c r="I2466" s="342">
        <f>55887.44</f>
        <v>55887.44</v>
      </c>
      <c r="J2466" s="342">
        <v>18772.52</v>
      </c>
      <c r="K2466" s="342">
        <v>5355.34</v>
      </c>
      <c r="L2466" s="357">
        <f>IF(6960.32=0, "-", 80015.3/6960.32)</f>
        <v>11.495922601259712</v>
      </c>
      <c r="M2466" s="357">
        <v>13.05</v>
      </c>
      <c r="N2466" s="357">
        <f>IF(2081.88=0, "-", 18772.52/2081.88)</f>
        <v>9.0170999289104081</v>
      </c>
      <c r="O2466" s="357">
        <f>IF(596.04=0, "-", 5355.34/596.04)</f>
        <v>8.984866787463929</v>
      </c>
      <c r="P2466" s="343"/>
      <c r="Q2466" s="343"/>
      <c r="R2466" s="343">
        <f ca="1">IF(ISERROR(VALUE(TRIM(INDIRECT(ADDRESS(ROW()-1, COLUMN(A2289)))))), INDIRECT(ADDRESS(ROW()-2, COLUMN(R2289)))+1, INDIRECT(ADDRESS(ROW()-1, COLUMN(R2289))))</f>
        <v>17</v>
      </c>
    </row>
    <row r="2467" spans="1:18" ht="36">
      <c r="A2467" s="339">
        <v>66.161000000000001</v>
      </c>
      <c r="B2467" s="334" t="s">
        <v>4391</v>
      </c>
      <c r="C2467" s="340" t="s">
        <v>4392</v>
      </c>
      <c r="D2467" s="341">
        <v>8475.2900000000009</v>
      </c>
      <c r="E2467" s="341">
        <v>5221.7</v>
      </c>
      <c r="F2467" s="341">
        <v>2562.2600000000002</v>
      </c>
      <c r="G2467" s="341">
        <v>691.33</v>
      </c>
      <c r="H2467" s="342">
        <v>97503.33</v>
      </c>
      <c r="I2467" s="342">
        <f>68145.77</f>
        <v>68145.77</v>
      </c>
      <c r="J2467" s="342">
        <v>23145.9</v>
      </c>
      <c r="K2467" s="342">
        <v>6211.66</v>
      </c>
      <c r="L2467" s="357">
        <f>IF(8475.29=0, "-", 97503.33/8475.29)</f>
        <v>11.504424037407569</v>
      </c>
      <c r="M2467" s="357">
        <v>13.05</v>
      </c>
      <c r="N2467" s="357">
        <f>IF(2562.26=0, "-", 23145.9/2562.26)</f>
        <v>9.0333923957756035</v>
      </c>
      <c r="O2467" s="357">
        <f>IF(691.33=0, "-", 6211.66/691.33)</f>
        <v>8.985086716907988</v>
      </c>
      <c r="P2467" s="343"/>
      <c r="Q2467" s="343"/>
      <c r="R2467" s="343">
        <f ca="1">IF(ISERROR(VALUE(TRIM(INDIRECT(ADDRESS(ROW()-1, COLUMN(A2289)))))), INDIRECT(ADDRESS(ROW()-2, COLUMN(R2289)))+1, INDIRECT(ADDRESS(ROW()-1, COLUMN(R2289))))</f>
        <v>17</v>
      </c>
    </row>
    <row r="2468" spans="1:18" ht="24">
      <c r="A2468" s="339">
        <v>66.162000000000006</v>
      </c>
      <c r="B2468" s="334" t="s">
        <v>4393</v>
      </c>
      <c r="C2468" s="340" t="s">
        <v>4394</v>
      </c>
      <c r="D2468" s="341">
        <v>787.83</v>
      </c>
      <c r="E2468" s="341">
        <v>434.3</v>
      </c>
      <c r="F2468" s="341">
        <v>346.36</v>
      </c>
      <c r="G2468" s="341">
        <v>7.17</v>
      </c>
      <c r="H2468" s="342">
        <v>8799.26</v>
      </c>
      <c r="I2468" s="342">
        <f>5667.83</f>
        <v>5667.83</v>
      </c>
      <c r="J2468" s="342">
        <v>3067.04</v>
      </c>
      <c r="K2468" s="342">
        <v>64.39</v>
      </c>
      <c r="L2468" s="357">
        <f>IF(787.83=0, "-", 8799.26/787.83)</f>
        <v>11.168983156264677</v>
      </c>
      <c r="M2468" s="357">
        <v>13.05</v>
      </c>
      <c r="N2468" s="357">
        <f>IF(346.36=0, "-", 3067.04/346.36)</f>
        <v>8.8550640951611044</v>
      </c>
      <c r="O2468" s="357">
        <f>IF(7.17=0, "-", 64.39/7.17)</f>
        <v>8.9804741980474194</v>
      </c>
      <c r="P2468" s="343"/>
      <c r="Q2468" s="343"/>
      <c r="R2468" s="343">
        <f ca="1">IF(ISERROR(VALUE(TRIM(INDIRECT(ADDRESS(ROW()-1, COLUMN(A2289)))))), INDIRECT(ADDRESS(ROW()-2, COLUMN(R2289)))+1, INDIRECT(ADDRESS(ROW()-1, COLUMN(R2289))))</f>
        <v>17</v>
      </c>
    </row>
    <row r="2469" spans="1:18" ht="24">
      <c r="A2469" s="339">
        <v>66.162999999999997</v>
      </c>
      <c r="B2469" s="334" t="s">
        <v>4395</v>
      </c>
      <c r="C2469" s="340" t="s">
        <v>4396</v>
      </c>
      <c r="D2469" s="341">
        <v>989.93</v>
      </c>
      <c r="E2469" s="341">
        <v>549.44000000000005</v>
      </c>
      <c r="F2469" s="341">
        <v>429.4</v>
      </c>
      <c r="G2469" s="341">
        <v>11.09</v>
      </c>
      <c r="H2469" s="342">
        <v>11092.95</v>
      </c>
      <c r="I2469" s="342">
        <f>7170.46</f>
        <v>7170.46</v>
      </c>
      <c r="J2469" s="342">
        <v>3822.96</v>
      </c>
      <c r="K2469" s="342">
        <v>99.53</v>
      </c>
      <c r="L2469" s="357">
        <f>IF(989.93=0, "-", 11092.95/989.93)</f>
        <v>11.205792328750519</v>
      </c>
      <c r="M2469" s="357">
        <v>13.05</v>
      </c>
      <c r="N2469" s="357">
        <f>IF(429.4=0, "-", 3822.96/429.4)</f>
        <v>8.9030274802049369</v>
      </c>
      <c r="O2469" s="357">
        <f>IF(11.09=0, "-", 99.53/11.09)</f>
        <v>8.9747520288548248</v>
      </c>
      <c r="P2469" s="343"/>
      <c r="Q2469" s="343"/>
      <c r="R2469" s="343">
        <f ca="1">IF(ISERROR(VALUE(TRIM(INDIRECT(ADDRESS(ROW()-1, COLUMN(A2289)))))), INDIRECT(ADDRESS(ROW()-2, COLUMN(R2289)))+1, INDIRECT(ADDRESS(ROW()-1, COLUMN(R2289))))</f>
        <v>17</v>
      </c>
    </row>
    <row r="2470" spans="1:18" ht="24">
      <c r="A2470" s="339">
        <v>66.164000000000001</v>
      </c>
      <c r="B2470" s="334" t="s">
        <v>4397</v>
      </c>
      <c r="C2470" s="340" t="s">
        <v>4398</v>
      </c>
      <c r="D2470" s="341">
        <v>1005.41</v>
      </c>
      <c r="E2470" s="341">
        <v>562.57000000000005</v>
      </c>
      <c r="F2470" s="341">
        <v>429.4</v>
      </c>
      <c r="G2470" s="341">
        <v>13.44</v>
      </c>
      <c r="H2470" s="342">
        <v>11285.41</v>
      </c>
      <c r="I2470" s="342">
        <f>7341.82</f>
        <v>7341.82</v>
      </c>
      <c r="J2470" s="342">
        <v>3822.96</v>
      </c>
      <c r="K2470" s="342">
        <v>120.63</v>
      </c>
      <c r="L2470" s="357">
        <f>IF(1005.41=0, "-", 11285.41/1005.41)</f>
        <v>11.224684457087159</v>
      </c>
      <c r="M2470" s="357">
        <v>13.05</v>
      </c>
      <c r="N2470" s="357">
        <f>IF(429.4=0, "-", 3822.96/429.4)</f>
        <v>8.9030274802049369</v>
      </c>
      <c r="O2470" s="357">
        <f>IF(13.44=0, "-", 120.63/13.44)</f>
        <v>8.9754464285714288</v>
      </c>
      <c r="P2470" s="343"/>
      <c r="Q2470" s="343"/>
      <c r="R2470" s="343">
        <f ca="1">IF(ISERROR(VALUE(TRIM(INDIRECT(ADDRESS(ROW()-1, COLUMN(A2289)))))), INDIRECT(ADDRESS(ROW()-2, COLUMN(R2289)))+1, INDIRECT(ADDRESS(ROW()-1, COLUMN(R2289))))</f>
        <v>17</v>
      </c>
    </row>
    <row r="2471" spans="1:18" ht="24">
      <c r="A2471" s="339">
        <v>66.165000000000006</v>
      </c>
      <c r="B2471" s="334" t="s">
        <v>4399</v>
      </c>
      <c r="C2471" s="340" t="s">
        <v>4400</v>
      </c>
      <c r="D2471" s="341">
        <v>1228.52</v>
      </c>
      <c r="E2471" s="341">
        <v>693.87</v>
      </c>
      <c r="F2471" s="341">
        <v>509.93</v>
      </c>
      <c r="G2471" s="341">
        <v>24.72</v>
      </c>
      <c r="H2471" s="342">
        <v>13833.4</v>
      </c>
      <c r="I2471" s="342">
        <f>9055.35</f>
        <v>9055.35</v>
      </c>
      <c r="J2471" s="342">
        <v>4556.0600000000004</v>
      </c>
      <c r="K2471" s="342">
        <v>221.99</v>
      </c>
      <c r="L2471" s="357">
        <f>IF(1228.52=0, "-", 13833.4/1228.52)</f>
        <v>11.260215543906488</v>
      </c>
      <c r="M2471" s="357">
        <v>13.05</v>
      </c>
      <c r="N2471" s="357">
        <f>IF(509.93=0, "-", 4556.06/509.93)</f>
        <v>8.9346773086502083</v>
      </c>
      <c r="O2471" s="357">
        <f>IF(24.72=0, "-", 221.99/24.72)</f>
        <v>8.9801779935275086</v>
      </c>
      <c r="P2471" s="343"/>
      <c r="Q2471" s="343"/>
      <c r="R2471" s="343">
        <f ca="1">IF(ISERROR(VALUE(TRIM(INDIRECT(ADDRESS(ROW()-1, COLUMN(A2289)))))), INDIRECT(ADDRESS(ROW()-2, COLUMN(R2289)))+1, INDIRECT(ADDRESS(ROW()-1, COLUMN(R2289))))</f>
        <v>17</v>
      </c>
    </row>
    <row r="2472" spans="1:18" ht="24">
      <c r="A2472" s="339">
        <v>66.165999999999997</v>
      </c>
      <c r="B2472" s="334" t="s">
        <v>4401</v>
      </c>
      <c r="C2472" s="340" t="s">
        <v>4402</v>
      </c>
      <c r="D2472" s="341">
        <v>1302.49</v>
      </c>
      <c r="E2472" s="341">
        <v>751.44</v>
      </c>
      <c r="F2472" s="341">
        <v>510.28</v>
      </c>
      <c r="G2472" s="341">
        <v>40.770000000000003</v>
      </c>
      <c r="H2472" s="342">
        <v>14731.59</v>
      </c>
      <c r="I2472" s="342">
        <f>9806.66</f>
        <v>9806.66</v>
      </c>
      <c r="J2472" s="342">
        <v>4558.75</v>
      </c>
      <c r="K2472" s="342">
        <v>366.18</v>
      </c>
      <c r="L2472" s="357">
        <f>IF(1302.49=0, "-", 14731.59/1302.49)</f>
        <v>11.310328678147242</v>
      </c>
      <c r="M2472" s="357">
        <v>13.05</v>
      </c>
      <c r="N2472" s="357">
        <f>IF(510.28=0, "-", 4558.75/510.28)</f>
        <v>8.9338206474876536</v>
      </c>
      <c r="O2472" s="357">
        <f>IF(40.77=0, "-", 366.18/40.77)</f>
        <v>8.9816041206769679</v>
      </c>
      <c r="P2472" s="343"/>
      <c r="Q2472" s="343"/>
      <c r="R2472" s="343">
        <f ca="1">IF(ISERROR(VALUE(TRIM(INDIRECT(ADDRESS(ROW()-1, COLUMN(A2289)))))), INDIRECT(ADDRESS(ROW()-2, COLUMN(R2289)))+1, INDIRECT(ADDRESS(ROW()-1, COLUMN(R2289))))</f>
        <v>17</v>
      </c>
    </row>
    <row r="2473" spans="1:18" ht="24">
      <c r="A2473" s="339">
        <v>66.167000000000002</v>
      </c>
      <c r="B2473" s="334" t="s">
        <v>4403</v>
      </c>
      <c r="C2473" s="340" t="s">
        <v>4404</v>
      </c>
      <c r="D2473" s="341">
        <v>1573.31</v>
      </c>
      <c r="E2473" s="341">
        <v>914.05</v>
      </c>
      <c r="F2473" s="341">
        <v>591.55999999999995</v>
      </c>
      <c r="G2473" s="341">
        <v>67.7</v>
      </c>
      <c r="H2473" s="342">
        <v>17834.55</v>
      </c>
      <c r="I2473" s="342">
        <f>11928.81</f>
        <v>11928.81</v>
      </c>
      <c r="J2473" s="342">
        <v>5297.56</v>
      </c>
      <c r="K2473" s="342">
        <v>608.17999999999995</v>
      </c>
      <c r="L2473" s="357">
        <f>IF(1573.31=0, "-", 17834.55/1573.31)</f>
        <v>11.335687181801426</v>
      </c>
      <c r="M2473" s="357">
        <v>13.05</v>
      </c>
      <c r="N2473" s="357">
        <f>IF(591.56=0, "-", 5297.56/591.56)</f>
        <v>8.9552370004733266</v>
      </c>
      <c r="O2473" s="357">
        <f>IF(67.7=0, "-", 608.18/67.7)</f>
        <v>8.983456425406203</v>
      </c>
      <c r="P2473" s="343"/>
      <c r="Q2473" s="343"/>
      <c r="R2473" s="343">
        <f ca="1">IF(ISERROR(VALUE(TRIM(INDIRECT(ADDRESS(ROW()-1, COLUMN(A2289)))))), INDIRECT(ADDRESS(ROW()-2, COLUMN(R2289)))+1, INDIRECT(ADDRESS(ROW()-1, COLUMN(R2289))))</f>
        <v>17</v>
      </c>
    </row>
    <row r="2474" spans="1:18" ht="24">
      <c r="A2474" s="339">
        <v>66.168000000000006</v>
      </c>
      <c r="B2474" s="334" t="s">
        <v>4405</v>
      </c>
      <c r="C2474" s="340" t="s">
        <v>4406</v>
      </c>
      <c r="D2474" s="341">
        <v>2209.85</v>
      </c>
      <c r="E2474" s="341">
        <v>1292.8</v>
      </c>
      <c r="F2474" s="341">
        <v>836.56</v>
      </c>
      <c r="G2474" s="341">
        <v>80.489999999999995</v>
      </c>
      <c r="H2474" s="342">
        <v>25123.17</v>
      </c>
      <c r="I2474" s="342">
        <f>16871.68</f>
        <v>16871.68</v>
      </c>
      <c r="J2474" s="342">
        <v>7528.39</v>
      </c>
      <c r="K2474" s="342">
        <v>723.1</v>
      </c>
      <c r="L2474" s="357">
        <f>IF(2209.85=0, "-", 25123.17/2209.85)</f>
        <v>11.368721858949701</v>
      </c>
      <c r="M2474" s="357">
        <v>13.05</v>
      </c>
      <c r="N2474" s="357">
        <f>IF(836.56=0, "-", 7528.39/836.56)</f>
        <v>8.9992230085110467</v>
      </c>
      <c r="O2474" s="357">
        <f>IF(80.49=0, "-", 723.1/80.49)</f>
        <v>8.9837246862964353</v>
      </c>
      <c r="P2474" s="343"/>
      <c r="Q2474" s="343"/>
      <c r="R2474" s="343">
        <f ca="1">IF(ISERROR(VALUE(TRIM(INDIRECT(ADDRESS(ROW()-1, COLUMN(A2289)))))), INDIRECT(ADDRESS(ROW()-2, COLUMN(R2289)))+1, INDIRECT(ADDRESS(ROW()-1, COLUMN(R2289))))</f>
        <v>17</v>
      </c>
    </row>
    <row r="2475" spans="1:18" ht="24">
      <c r="A2475" s="339">
        <v>66.168999999999997</v>
      </c>
      <c r="B2475" s="334" t="s">
        <v>4407</v>
      </c>
      <c r="C2475" s="340" t="s">
        <v>4408</v>
      </c>
      <c r="D2475" s="341">
        <v>2274.84</v>
      </c>
      <c r="E2475" s="341">
        <v>1333.2</v>
      </c>
      <c r="F2475" s="341">
        <v>837.28</v>
      </c>
      <c r="G2475" s="341">
        <v>104.36</v>
      </c>
      <c r="H2475" s="342">
        <v>25870.32</v>
      </c>
      <c r="I2475" s="342">
        <f>17398.92</f>
        <v>17398.919999999998</v>
      </c>
      <c r="J2475" s="342">
        <v>7533.87</v>
      </c>
      <c r="K2475" s="342">
        <v>937.53</v>
      </c>
      <c r="L2475" s="357">
        <f>IF(2274.84=0, "-", 25870.32/2274.84)</f>
        <v>11.372369045735084</v>
      </c>
      <c r="M2475" s="357">
        <v>13.05</v>
      </c>
      <c r="N2475" s="357">
        <f>IF(837.28=0, "-", 7533.87/837.28)</f>
        <v>8.9980293330785397</v>
      </c>
      <c r="O2475" s="357">
        <f>IF(104.36=0, "-", 937.53/104.36)</f>
        <v>8.9836144116519741</v>
      </c>
      <c r="P2475" s="343"/>
      <c r="Q2475" s="343"/>
      <c r="R2475" s="343">
        <f ca="1">IF(ISERROR(VALUE(TRIM(INDIRECT(ADDRESS(ROW()-1, COLUMN(A2289)))))), INDIRECT(ADDRESS(ROW()-2, COLUMN(R2289)))+1, INDIRECT(ADDRESS(ROW()-1, COLUMN(R2289))))</f>
        <v>17</v>
      </c>
    </row>
    <row r="2476" spans="1:18" ht="24">
      <c r="A2476" s="339">
        <v>66.17</v>
      </c>
      <c r="B2476" s="334" t="s">
        <v>4409</v>
      </c>
      <c r="C2476" s="340" t="s">
        <v>4410</v>
      </c>
      <c r="D2476" s="341">
        <v>2928.97</v>
      </c>
      <c r="E2476" s="341">
        <v>1717</v>
      </c>
      <c r="F2476" s="341">
        <v>1082.6300000000001</v>
      </c>
      <c r="G2476" s="341">
        <v>129.34</v>
      </c>
      <c r="H2476" s="342">
        <v>33337.07</v>
      </c>
      <c r="I2476" s="342">
        <f>22407.7</f>
        <v>22407.7</v>
      </c>
      <c r="J2476" s="342">
        <v>9767.4</v>
      </c>
      <c r="K2476" s="342">
        <v>1161.97</v>
      </c>
      <c r="L2476" s="357">
        <f>IF(2928.97=0, "-", 33337.07/2928.97)</f>
        <v>11.381840715336791</v>
      </c>
      <c r="M2476" s="357">
        <v>13.05</v>
      </c>
      <c r="N2476" s="357">
        <f>IF(1082.63=0, "-", 9767.4/1082.63)</f>
        <v>9.0219188457737172</v>
      </c>
      <c r="O2476" s="357">
        <f>IF(129.34=0, "-", 1161.97/129.34)</f>
        <v>8.9838410391216943</v>
      </c>
      <c r="P2476" s="343"/>
      <c r="Q2476" s="343"/>
      <c r="R2476" s="343">
        <f ca="1">IF(ISERROR(VALUE(TRIM(INDIRECT(ADDRESS(ROW()-1, COLUMN(A2289)))))), INDIRECT(ADDRESS(ROW()-2, COLUMN(R2289)))+1, INDIRECT(ADDRESS(ROW()-1, COLUMN(R2289))))</f>
        <v>17</v>
      </c>
    </row>
    <row r="2477" spans="1:18" ht="24">
      <c r="A2477" s="339">
        <v>66.171000000000006</v>
      </c>
      <c r="B2477" s="334" t="s">
        <v>4411</v>
      </c>
      <c r="C2477" s="340" t="s">
        <v>4412</v>
      </c>
      <c r="D2477" s="341">
        <v>3095.57</v>
      </c>
      <c r="E2477" s="341">
        <v>1858.4</v>
      </c>
      <c r="F2477" s="341">
        <v>1083.3699999999999</v>
      </c>
      <c r="G2477" s="341">
        <v>153.80000000000001</v>
      </c>
      <c r="H2477" s="342">
        <v>35407.83</v>
      </c>
      <c r="I2477" s="342">
        <f>24253.04</f>
        <v>24253.040000000001</v>
      </c>
      <c r="J2477" s="342">
        <v>9773</v>
      </c>
      <c r="K2477" s="342">
        <v>1381.79</v>
      </c>
      <c r="L2477" s="357">
        <f>IF(3095.57=0, "-", 35407.83/3095.57)</f>
        <v>11.438226239432479</v>
      </c>
      <c r="M2477" s="357">
        <v>13.05</v>
      </c>
      <c r="N2477" s="357">
        <f>IF(1083.37=0, "-", 9773/1083.37)</f>
        <v>9.0209254456003034</v>
      </c>
      <c r="O2477" s="357">
        <f>IF(153.8=0, "-", 1381.79/153.8)</f>
        <v>8.9843302990897254</v>
      </c>
      <c r="P2477" s="343"/>
      <c r="Q2477" s="343"/>
      <c r="R2477" s="343">
        <f ca="1">IF(ISERROR(VALUE(TRIM(INDIRECT(ADDRESS(ROW()-1, COLUMN(A2289)))))), INDIRECT(ADDRESS(ROW()-2, COLUMN(R2289)))+1, INDIRECT(ADDRESS(ROW()-1, COLUMN(R2289))))</f>
        <v>17</v>
      </c>
    </row>
    <row r="2478" spans="1:18" ht="24">
      <c r="A2478" s="339">
        <v>66.171999999999997</v>
      </c>
      <c r="B2478" s="334" t="s">
        <v>4413</v>
      </c>
      <c r="C2478" s="340" t="s">
        <v>4414</v>
      </c>
      <c r="D2478" s="341">
        <v>3571.89</v>
      </c>
      <c r="E2478" s="341">
        <v>2131.1</v>
      </c>
      <c r="F2478" s="341">
        <v>1267.03</v>
      </c>
      <c r="G2478" s="341">
        <v>173.76</v>
      </c>
      <c r="H2478" s="342">
        <v>40732.54</v>
      </c>
      <c r="I2478" s="342">
        <f>27811.91</f>
        <v>27811.91</v>
      </c>
      <c r="J2478" s="342">
        <v>11359.53</v>
      </c>
      <c r="K2478" s="342">
        <v>1561.1</v>
      </c>
      <c r="L2478" s="357">
        <f>IF(3571.89=0, "-", 40732.54/3571.89)</f>
        <v>11.403637849989781</v>
      </c>
      <c r="M2478" s="357">
        <v>13.05</v>
      </c>
      <c r="N2478" s="357">
        <f>IF(1267.03=0, "-", 11359.53/1267.03)</f>
        <v>8.9654783233230475</v>
      </c>
      <c r="O2478" s="357">
        <f>IF(173.76=0, "-", 1561.1/173.76)</f>
        <v>8.9842311233885823</v>
      </c>
      <c r="P2478" s="343"/>
      <c r="Q2478" s="343"/>
      <c r="R2478" s="343">
        <f ca="1">IF(ISERROR(VALUE(TRIM(INDIRECT(ADDRESS(ROW()-1, COLUMN(A2289)))))), INDIRECT(ADDRESS(ROW()-2, COLUMN(R2289)))+1, INDIRECT(ADDRESS(ROW()-1, COLUMN(R2289))))</f>
        <v>17</v>
      </c>
    </row>
    <row r="2479" spans="1:18" ht="24">
      <c r="A2479" s="339">
        <v>66.173000000000002</v>
      </c>
      <c r="B2479" s="334" t="s">
        <v>4415</v>
      </c>
      <c r="C2479" s="340" t="s">
        <v>4416</v>
      </c>
      <c r="D2479" s="341">
        <v>4040.24</v>
      </c>
      <c r="E2479" s="341">
        <v>2413.9</v>
      </c>
      <c r="F2479" s="341">
        <v>1430.08</v>
      </c>
      <c r="G2479" s="341">
        <v>196.26</v>
      </c>
      <c r="H2479" s="342">
        <v>46108.67</v>
      </c>
      <c r="I2479" s="342">
        <f>31502.59</f>
        <v>31502.59</v>
      </c>
      <c r="J2479" s="342">
        <v>12842.73</v>
      </c>
      <c r="K2479" s="342">
        <v>1763.35</v>
      </c>
      <c r="L2479" s="357">
        <f>IF(4040.24=0, "-", 46108.67/4040.24)</f>
        <v>11.412359166782171</v>
      </c>
      <c r="M2479" s="357">
        <v>13.05</v>
      </c>
      <c r="N2479" s="357">
        <f>IF(1430.08=0, "-", 12842.73/1430.08)</f>
        <v>8.9804276683821893</v>
      </c>
      <c r="O2479" s="357">
        <f>IF(196.26=0, "-", 1763.35/196.26)</f>
        <v>8.9847651075104444</v>
      </c>
      <c r="P2479" s="343"/>
      <c r="Q2479" s="343"/>
      <c r="R2479" s="343">
        <f ca="1">IF(ISERROR(VALUE(TRIM(INDIRECT(ADDRESS(ROW()-1, COLUMN(A2289)))))), INDIRECT(ADDRESS(ROW()-2, COLUMN(R2289)))+1, INDIRECT(ADDRESS(ROW()-1, COLUMN(R2289))))</f>
        <v>17</v>
      </c>
    </row>
    <row r="2480" spans="1:18" ht="24">
      <c r="A2480" s="339">
        <v>66.174000000000007</v>
      </c>
      <c r="B2480" s="334" t="s">
        <v>4417</v>
      </c>
      <c r="C2480" s="340" t="s">
        <v>4418</v>
      </c>
      <c r="D2480" s="341">
        <v>4888.29</v>
      </c>
      <c r="E2480" s="341">
        <v>2989.6</v>
      </c>
      <c r="F2480" s="341">
        <v>1594.54</v>
      </c>
      <c r="G2480" s="341">
        <v>304.14999999999998</v>
      </c>
      <c r="H2480" s="342">
        <v>56085.2</v>
      </c>
      <c r="I2480" s="342">
        <f>39015.76</f>
        <v>39015.760000000002</v>
      </c>
      <c r="J2480" s="342">
        <v>14336.7</v>
      </c>
      <c r="K2480" s="342">
        <v>2732.74</v>
      </c>
      <c r="L2480" s="357">
        <f>IF(4888.29=0, "-", 56085.2/4888.29)</f>
        <v>11.4733782161042</v>
      </c>
      <c r="M2480" s="357">
        <v>13.05</v>
      </c>
      <c r="N2480" s="357">
        <f>IF(1594.54=0, "-", 14336.7/1594.54)</f>
        <v>8.9911196959624728</v>
      </c>
      <c r="O2480" s="357">
        <f>IF(304.15=0, "-", 2732.74/304.15)</f>
        <v>8.9848430050961703</v>
      </c>
      <c r="P2480" s="343"/>
      <c r="Q2480" s="343"/>
      <c r="R2480" s="343">
        <f ca="1">IF(ISERROR(VALUE(TRIM(INDIRECT(ADDRESS(ROW()-1, COLUMN(A2289)))))), INDIRECT(ADDRESS(ROW()-2, COLUMN(R2289)))+1, INDIRECT(ADDRESS(ROW()-1, COLUMN(R2289))))</f>
        <v>17</v>
      </c>
    </row>
    <row r="2481" spans="1:18" ht="24">
      <c r="A2481" s="339">
        <v>66.174999999999997</v>
      </c>
      <c r="B2481" s="334" t="s">
        <v>4419</v>
      </c>
      <c r="C2481" s="340" t="s">
        <v>4420</v>
      </c>
      <c r="D2481" s="341">
        <v>6599.22</v>
      </c>
      <c r="E2481" s="341">
        <v>4080.4</v>
      </c>
      <c r="F2481" s="341">
        <v>1922.78</v>
      </c>
      <c r="G2481" s="341">
        <v>596.04</v>
      </c>
      <c r="H2481" s="342">
        <v>75929.7</v>
      </c>
      <c r="I2481" s="342">
        <f>53251.24</f>
        <v>53251.24</v>
      </c>
      <c r="J2481" s="342">
        <v>17323.12</v>
      </c>
      <c r="K2481" s="342">
        <v>5355.34</v>
      </c>
      <c r="L2481" s="357">
        <f>IF(6599.22=0, "-", 75929.7/6599.22)</f>
        <v>11.505859783428949</v>
      </c>
      <c r="M2481" s="357">
        <v>13.05</v>
      </c>
      <c r="N2481" s="357">
        <f>IF(1922.78=0, "-", 17323.12/1922.78)</f>
        <v>9.0094134534372099</v>
      </c>
      <c r="O2481" s="357">
        <f>IF(596.04=0, "-", 5355.34/596.04)</f>
        <v>8.984866787463929</v>
      </c>
      <c r="P2481" s="343"/>
      <c r="Q2481" s="343"/>
      <c r="R2481" s="343">
        <f ca="1">IF(ISERROR(VALUE(TRIM(INDIRECT(ADDRESS(ROW()-1, COLUMN(A2289)))))), INDIRECT(ADDRESS(ROW()-2, COLUMN(R2289)))+1, INDIRECT(ADDRESS(ROW()-1, COLUMN(R2289))))</f>
        <v>17</v>
      </c>
    </row>
    <row r="2482" spans="1:18" ht="24">
      <c r="A2482" s="339">
        <v>66.176000000000002</v>
      </c>
      <c r="B2482" s="334" t="s">
        <v>4421</v>
      </c>
      <c r="C2482" s="340" t="s">
        <v>4422</v>
      </c>
      <c r="D2482" s="341">
        <v>7929.17</v>
      </c>
      <c r="E2482" s="341">
        <v>4908.6000000000004</v>
      </c>
      <c r="F2482" s="341">
        <v>2329.2399999999998</v>
      </c>
      <c r="G2482" s="341">
        <v>691.33</v>
      </c>
      <c r="H2482" s="342">
        <v>91294.48</v>
      </c>
      <c r="I2482" s="342">
        <f>64059.66</f>
        <v>64059.66</v>
      </c>
      <c r="J2482" s="342">
        <v>21023.16</v>
      </c>
      <c r="K2482" s="342">
        <v>6211.66</v>
      </c>
      <c r="L2482" s="357">
        <f>IF(7929.17=0, "-", 91294.48/7929.17)</f>
        <v>11.513749862848192</v>
      </c>
      <c r="M2482" s="357">
        <v>13.05</v>
      </c>
      <c r="N2482" s="357">
        <f>IF(2329.24=0, "-", 21023.16/2329.24)</f>
        <v>9.0257594751936256</v>
      </c>
      <c r="O2482" s="357">
        <f>IF(691.33=0, "-", 6211.66/691.33)</f>
        <v>8.985086716907988</v>
      </c>
      <c r="P2482" s="343"/>
      <c r="Q2482" s="343"/>
      <c r="R2482" s="343">
        <f ca="1">IF(ISERROR(VALUE(TRIM(INDIRECT(ADDRESS(ROW()-1, COLUMN(A2289)))))), INDIRECT(ADDRESS(ROW()-2, COLUMN(R2289)))+1, INDIRECT(ADDRESS(ROW()-1, COLUMN(R2289))))</f>
        <v>17</v>
      </c>
    </row>
    <row r="2483" spans="1:18" ht="12.75">
      <c r="A2483" s="426" t="s">
        <v>4423</v>
      </c>
      <c r="B2483" s="427"/>
      <c r="C2483" s="427"/>
      <c r="D2483" s="427"/>
      <c r="E2483" s="427"/>
      <c r="F2483" s="427"/>
      <c r="G2483" s="427"/>
      <c r="H2483" s="427"/>
      <c r="I2483" s="427"/>
      <c r="J2483" s="427"/>
      <c r="K2483" s="427"/>
      <c r="L2483" s="427"/>
      <c r="M2483" s="427"/>
      <c r="N2483" s="427"/>
      <c r="O2483" s="427"/>
      <c r="P2483" s="427"/>
      <c r="Q2483" s="427"/>
      <c r="R2483" s="427"/>
    </row>
    <row r="2484" spans="1:18" ht="24">
      <c r="A2484" s="339">
        <v>66.177000000000007</v>
      </c>
      <c r="B2484" s="334" t="s">
        <v>4424</v>
      </c>
      <c r="C2484" s="340" t="s">
        <v>4425</v>
      </c>
      <c r="D2484" s="341">
        <v>164.5</v>
      </c>
      <c r="E2484" s="341">
        <v>29.8</v>
      </c>
      <c r="F2484" s="341">
        <v>134.18</v>
      </c>
      <c r="G2484" s="341">
        <v>0.52</v>
      </c>
      <c r="H2484" s="342">
        <v>1530.17</v>
      </c>
      <c r="I2484" s="342">
        <f>388.84</f>
        <v>388.84</v>
      </c>
      <c r="J2484" s="342">
        <v>1136.7</v>
      </c>
      <c r="K2484" s="342">
        <v>4.63</v>
      </c>
      <c r="L2484" s="357">
        <f>IF(164.5=0, "-", 1530.17/164.5)</f>
        <v>9.3019452887537994</v>
      </c>
      <c r="M2484" s="357">
        <v>13.05</v>
      </c>
      <c r="N2484" s="357">
        <f>IF(134.18=0, "-", 1136.7/134.18)</f>
        <v>8.4714562527947539</v>
      </c>
      <c r="O2484" s="357">
        <f>IF(0.52=0, "-", 4.63/0.52)</f>
        <v>8.9038461538461533</v>
      </c>
      <c r="P2484" s="343"/>
      <c r="Q2484" s="343"/>
      <c r="R2484" s="343">
        <f ca="1">IF(ISERROR(VALUE(TRIM(INDIRECT(ADDRESS(ROW()-1, COLUMN(A2289)))))), INDIRECT(ADDRESS(ROW()-2, COLUMN(R2289)))+1, INDIRECT(ADDRESS(ROW()-1, COLUMN(R2289))))</f>
        <v>18</v>
      </c>
    </row>
    <row r="2485" spans="1:18" ht="24">
      <c r="A2485" s="339">
        <v>66.177999999999997</v>
      </c>
      <c r="B2485" s="334" t="s">
        <v>4426</v>
      </c>
      <c r="C2485" s="340" t="s">
        <v>4427</v>
      </c>
      <c r="D2485" s="341">
        <v>214.56</v>
      </c>
      <c r="E2485" s="341">
        <v>41.61</v>
      </c>
      <c r="F2485" s="341">
        <v>171.91</v>
      </c>
      <c r="G2485" s="341">
        <v>1.04</v>
      </c>
      <c r="H2485" s="342">
        <v>2032.48</v>
      </c>
      <c r="I2485" s="342">
        <f>543.06</f>
        <v>543.05999999999995</v>
      </c>
      <c r="J2485" s="342">
        <v>1480.16</v>
      </c>
      <c r="K2485" s="342">
        <v>9.26</v>
      </c>
      <c r="L2485" s="357">
        <f>IF(214.56=0, "-", 2032.48/214.56)</f>
        <v>9.4727815063385528</v>
      </c>
      <c r="M2485" s="357">
        <v>13.05</v>
      </c>
      <c r="N2485" s="357">
        <f>IF(171.91=0, "-", 1480.16/171.91)</f>
        <v>8.6100866732592642</v>
      </c>
      <c r="O2485" s="357">
        <f>IF(1.04=0, "-", 9.26/1.04)</f>
        <v>8.9038461538461533</v>
      </c>
      <c r="P2485" s="343"/>
      <c r="Q2485" s="343"/>
      <c r="R2485" s="343">
        <f ca="1">IF(ISERROR(VALUE(TRIM(INDIRECT(ADDRESS(ROW()-1, COLUMN(A2289)))))), INDIRECT(ADDRESS(ROW()-2, COLUMN(R2289)))+1, INDIRECT(ADDRESS(ROW()-1, COLUMN(R2289))))</f>
        <v>18</v>
      </c>
    </row>
    <row r="2486" spans="1:18" ht="24">
      <c r="A2486" s="339">
        <v>66.179000000000002</v>
      </c>
      <c r="B2486" s="334" t="s">
        <v>4428</v>
      </c>
      <c r="C2486" s="340" t="s">
        <v>4429</v>
      </c>
      <c r="D2486" s="341">
        <v>239.45</v>
      </c>
      <c r="E2486" s="341">
        <v>48.78</v>
      </c>
      <c r="F2486" s="341">
        <v>188.52</v>
      </c>
      <c r="G2486" s="341">
        <v>2.15</v>
      </c>
      <c r="H2486" s="342">
        <v>2286.77</v>
      </c>
      <c r="I2486" s="342">
        <f>636.64</f>
        <v>636.64</v>
      </c>
      <c r="J2486" s="342">
        <v>1631</v>
      </c>
      <c r="K2486" s="342">
        <v>19.13</v>
      </c>
      <c r="L2486" s="357">
        <f>IF(239.45=0, "-", 2286.77/239.45)</f>
        <v>9.550093965337231</v>
      </c>
      <c r="M2486" s="357">
        <v>13.05</v>
      </c>
      <c r="N2486" s="357">
        <f>IF(188.52=0, "-", 1631/188.52)</f>
        <v>8.6516019520475282</v>
      </c>
      <c r="O2486" s="357">
        <f>IF(2.15=0, "-", 19.13/2.15)</f>
        <v>8.8976744186046517</v>
      </c>
      <c r="P2486" s="343"/>
      <c r="Q2486" s="343"/>
      <c r="R2486" s="343">
        <f ca="1">IF(ISERROR(VALUE(TRIM(INDIRECT(ADDRESS(ROW()-1, COLUMN(A2289)))))), INDIRECT(ADDRESS(ROW()-2, COLUMN(R2289)))+1, INDIRECT(ADDRESS(ROW()-1, COLUMN(R2289))))</f>
        <v>18</v>
      </c>
    </row>
    <row r="2487" spans="1:18" ht="24">
      <c r="A2487" s="339">
        <v>66.180000000000007</v>
      </c>
      <c r="B2487" s="334" t="s">
        <v>4430</v>
      </c>
      <c r="C2487" s="340" t="s">
        <v>4431</v>
      </c>
      <c r="D2487" s="341">
        <v>274.61</v>
      </c>
      <c r="E2487" s="341">
        <v>57.07</v>
      </c>
      <c r="F2487" s="341">
        <v>213.7</v>
      </c>
      <c r="G2487" s="341">
        <v>3.84</v>
      </c>
      <c r="H2487" s="342">
        <v>2639.19</v>
      </c>
      <c r="I2487" s="342">
        <f>744.73</f>
        <v>744.73</v>
      </c>
      <c r="J2487" s="342">
        <v>1860.22</v>
      </c>
      <c r="K2487" s="342">
        <v>34.24</v>
      </c>
      <c r="L2487" s="357">
        <f>IF(274.61=0, "-", 2639.19/274.61)</f>
        <v>9.6106842431084072</v>
      </c>
      <c r="M2487" s="357">
        <v>13.05</v>
      </c>
      <c r="N2487" s="357">
        <f>IF(213.7=0, "-", 1860.22/213.7)</f>
        <v>8.7048198408984572</v>
      </c>
      <c r="O2487" s="357">
        <f>IF(3.84=0, "-", 34.24/3.84)</f>
        <v>8.9166666666666679</v>
      </c>
      <c r="P2487" s="343"/>
      <c r="Q2487" s="343"/>
      <c r="R2487" s="343">
        <f ca="1">IF(ISERROR(VALUE(TRIM(INDIRECT(ADDRESS(ROW()-1, COLUMN(A2289)))))), INDIRECT(ADDRESS(ROW()-2, COLUMN(R2289)))+1, INDIRECT(ADDRESS(ROW()-1, COLUMN(R2289))))</f>
        <v>18</v>
      </c>
    </row>
    <row r="2488" spans="1:18" ht="24">
      <c r="A2488" s="339">
        <v>66.180999999999997</v>
      </c>
      <c r="B2488" s="334" t="s">
        <v>4432</v>
      </c>
      <c r="C2488" s="340" t="s">
        <v>4433</v>
      </c>
      <c r="D2488" s="341">
        <v>316.8</v>
      </c>
      <c r="E2488" s="341">
        <v>68.069999999999993</v>
      </c>
      <c r="F2488" s="341">
        <v>243.97</v>
      </c>
      <c r="G2488" s="341">
        <v>4.76</v>
      </c>
      <c r="H2488" s="342">
        <v>3066.44</v>
      </c>
      <c r="I2488" s="342">
        <f>888.4</f>
        <v>888.4</v>
      </c>
      <c r="J2488" s="342">
        <v>2135.63</v>
      </c>
      <c r="K2488" s="342">
        <v>42.41</v>
      </c>
      <c r="L2488" s="357">
        <f>IF(316.8=0, "-", 3066.44/316.8)</f>
        <v>9.679419191919191</v>
      </c>
      <c r="M2488" s="357">
        <v>13.05</v>
      </c>
      <c r="N2488" s="357">
        <f>IF(243.97=0, "-", 2135.63/243.97)</f>
        <v>8.7536582366684428</v>
      </c>
      <c r="O2488" s="357">
        <f>IF(4.76=0, "-", 42.41/4.76)</f>
        <v>8.9096638655462179</v>
      </c>
      <c r="P2488" s="343"/>
      <c r="Q2488" s="343"/>
      <c r="R2488" s="343">
        <f ca="1">IF(ISERROR(VALUE(TRIM(INDIRECT(ADDRESS(ROW()-1, COLUMN(A2289)))))), INDIRECT(ADDRESS(ROW()-2, COLUMN(R2289)))+1, INDIRECT(ADDRESS(ROW()-1, COLUMN(R2289))))</f>
        <v>18</v>
      </c>
    </row>
    <row r="2489" spans="1:18" ht="24">
      <c r="A2489" s="339">
        <v>66.182000000000002</v>
      </c>
      <c r="B2489" s="334" t="s">
        <v>4434</v>
      </c>
      <c r="C2489" s="340" t="s">
        <v>4435</v>
      </c>
      <c r="D2489" s="341">
        <v>354.09</v>
      </c>
      <c r="E2489" s="341">
        <v>77.97</v>
      </c>
      <c r="F2489" s="341">
        <v>269.14999999999998</v>
      </c>
      <c r="G2489" s="341">
        <v>6.97</v>
      </c>
      <c r="H2489" s="342">
        <v>3444.57</v>
      </c>
      <c r="I2489" s="342">
        <f>1017.57</f>
        <v>1017.57</v>
      </c>
      <c r="J2489" s="342">
        <v>2364.85</v>
      </c>
      <c r="K2489" s="342">
        <v>62.15</v>
      </c>
      <c r="L2489" s="357">
        <f>IF(354.09=0, "-", 3444.57/354.09)</f>
        <v>9.7279505210539696</v>
      </c>
      <c r="M2489" s="357">
        <v>13.05</v>
      </c>
      <c r="N2489" s="357">
        <f>IF(269.15=0, "-", 2364.85/269.15)</f>
        <v>8.7863644807728036</v>
      </c>
      <c r="O2489" s="357">
        <f>IF(6.97=0, "-", 62.15/6.97)</f>
        <v>8.9167862266857956</v>
      </c>
      <c r="P2489" s="343"/>
      <c r="Q2489" s="343"/>
      <c r="R2489" s="343">
        <f ca="1">IF(ISERROR(VALUE(TRIM(INDIRECT(ADDRESS(ROW()-1, COLUMN(A2289)))))), INDIRECT(ADDRESS(ROW()-2, COLUMN(R2289)))+1, INDIRECT(ADDRESS(ROW()-1, COLUMN(R2289))))</f>
        <v>18</v>
      </c>
    </row>
    <row r="2490" spans="1:18" ht="24">
      <c r="A2490" s="339">
        <v>66.183000000000007</v>
      </c>
      <c r="B2490" s="334" t="s">
        <v>4436</v>
      </c>
      <c r="C2490" s="340" t="s">
        <v>4437</v>
      </c>
      <c r="D2490" s="341">
        <v>394.49</v>
      </c>
      <c r="E2490" s="341">
        <v>88.38</v>
      </c>
      <c r="F2490" s="341">
        <v>298.16000000000003</v>
      </c>
      <c r="G2490" s="341">
        <v>7.95</v>
      </c>
      <c r="H2490" s="342">
        <v>3853.11</v>
      </c>
      <c r="I2490" s="342">
        <f>1153.34</f>
        <v>1153.3399999999999</v>
      </c>
      <c r="J2490" s="342">
        <v>2628.84</v>
      </c>
      <c r="K2490" s="342">
        <v>70.930000000000007</v>
      </c>
      <c r="L2490" s="357">
        <f>IF(394.49=0, "-", 3853.11/394.49)</f>
        <v>9.7673198306674447</v>
      </c>
      <c r="M2490" s="357">
        <v>13.05</v>
      </c>
      <c r="N2490" s="357">
        <f>IF(298.16=0, "-", 2628.84/298.16)</f>
        <v>8.8168768446471688</v>
      </c>
      <c r="O2490" s="357">
        <f>IF(7.95=0, "-", 70.93/7.95)</f>
        <v>8.9220125786163536</v>
      </c>
      <c r="P2490" s="343"/>
      <c r="Q2490" s="343"/>
      <c r="R2490" s="343">
        <f ca="1">IF(ISERROR(VALUE(TRIM(INDIRECT(ADDRESS(ROW()-1, COLUMN(A2289)))))), INDIRECT(ADDRESS(ROW()-2, COLUMN(R2289)))+1, INDIRECT(ADDRESS(ROW()-1, COLUMN(R2289))))</f>
        <v>18</v>
      </c>
    </row>
    <row r="2491" spans="1:18" ht="24">
      <c r="A2491" s="339">
        <v>66.183999999999997</v>
      </c>
      <c r="B2491" s="334" t="s">
        <v>4438</v>
      </c>
      <c r="C2491" s="340" t="s">
        <v>4439</v>
      </c>
      <c r="D2491" s="341">
        <v>435.74</v>
      </c>
      <c r="E2491" s="341">
        <v>99.38</v>
      </c>
      <c r="F2491" s="341">
        <v>327.23</v>
      </c>
      <c r="G2491" s="341">
        <v>9.1300000000000008</v>
      </c>
      <c r="H2491" s="342">
        <v>4271.6899999999996</v>
      </c>
      <c r="I2491" s="342">
        <f>1297.01</f>
        <v>1297.01</v>
      </c>
      <c r="J2491" s="342">
        <v>2893.27</v>
      </c>
      <c r="K2491" s="342">
        <v>81.41</v>
      </c>
      <c r="L2491" s="357">
        <f>IF(435.74=0, "-", 4271.69/435.74)</f>
        <v>9.8033001331068981</v>
      </c>
      <c r="M2491" s="357">
        <v>13.05</v>
      </c>
      <c r="N2491" s="357">
        <f>IF(327.23=0, "-", 2893.27/327.23)</f>
        <v>8.8417015554808547</v>
      </c>
      <c r="O2491" s="357">
        <f>IF(9.13=0, "-", 81.41/9.13)</f>
        <v>8.9167579408543247</v>
      </c>
      <c r="P2491" s="343"/>
      <c r="Q2491" s="343"/>
      <c r="R2491" s="343">
        <f ca="1">IF(ISERROR(VALUE(TRIM(INDIRECT(ADDRESS(ROW()-1, COLUMN(A2289)))))), INDIRECT(ADDRESS(ROW()-2, COLUMN(R2289)))+1, INDIRECT(ADDRESS(ROW()-1, COLUMN(R2289))))</f>
        <v>18</v>
      </c>
    </row>
    <row r="2492" spans="1:18" ht="24">
      <c r="A2492" s="339">
        <v>66.185000000000002</v>
      </c>
      <c r="B2492" s="334" t="s">
        <v>4440</v>
      </c>
      <c r="C2492" s="340" t="s">
        <v>4441</v>
      </c>
      <c r="D2492" s="341">
        <v>475.65</v>
      </c>
      <c r="E2492" s="341">
        <v>113.12</v>
      </c>
      <c r="F2492" s="341">
        <v>352.43</v>
      </c>
      <c r="G2492" s="341">
        <v>10.1</v>
      </c>
      <c r="H2492" s="342">
        <v>4689.0600000000004</v>
      </c>
      <c r="I2492" s="342">
        <f>1476.27</f>
        <v>1476.27</v>
      </c>
      <c r="J2492" s="342">
        <v>3122.6</v>
      </c>
      <c r="K2492" s="342">
        <v>90.19</v>
      </c>
      <c r="L2492" s="357">
        <f>IF(475.65=0, "-", 4689.06/475.65)</f>
        <v>9.8582150741091148</v>
      </c>
      <c r="M2492" s="357">
        <v>13.05</v>
      </c>
      <c r="N2492" s="357">
        <f>IF(352.43=0, "-", 3122.6/352.43)</f>
        <v>8.8601991884913307</v>
      </c>
      <c r="O2492" s="357">
        <f>IF(10.1=0, "-", 90.19/10.1)</f>
        <v>8.9297029702970292</v>
      </c>
      <c r="P2492" s="343"/>
      <c r="Q2492" s="343"/>
      <c r="R2492" s="343">
        <f ca="1">IF(ISERROR(VALUE(TRIM(INDIRECT(ADDRESS(ROW()-1, COLUMN(A2289)))))), INDIRECT(ADDRESS(ROW()-2, COLUMN(R2289)))+1, INDIRECT(ADDRESS(ROW()-1, COLUMN(R2289))))</f>
        <v>18</v>
      </c>
    </row>
    <row r="2493" spans="1:18" ht="24">
      <c r="A2493" s="339">
        <v>66.186000000000007</v>
      </c>
      <c r="B2493" s="334" t="s">
        <v>4442</v>
      </c>
      <c r="C2493" s="340" t="s">
        <v>4443</v>
      </c>
      <c r="D2493" s="341">
        <v>508.32</v>
      </c>
      <c r="E2493" s="341">
        <v>117.16</v>
      </c>
      <c r="F2493" s="341">
        <v>377.86</v>
      </c>
      <c r="G2493" s="341">
        <v>13.3</v>
      </c>
      <c r="H2493" s="342">
        <v>5001.47</v>
      </c>
      <c r="I2493" s="342">
        <f>1529</f>
        <v>1529</v>
      </c>
      <c r="J2493" s="342">
        <v>3353.76</v>
      </c>
      <c r="K2493" s="342">
        <v>118.71</v>
      </c>
      <c r="L2493" s="357">
        <f>IF(508.32=0, "-", 5001.47/508.32)</f>
        <v>9.8392154548316029</v>
      </c>
      <c r="M2493" s="357">
        <v>13.05</v>
      </c>
      <c r="N2493" s="357">
        <f>IF(377.86=0, "-", 3353.76/377.86)</f>
        <v>8.8756682369131426</v>
      </c>
      <c r="O2493" s="357">
        <f>IF(13.3=0, "-", 118.71/13.3)</f>
        <v>8.9255639097744357</v>
      </c>
      <c r="P2493" s="343"/>
      <c r="Q2493" s="343"/>
      <c r="R2493" s="343">
        <f ca="1">IF(ISERROR(VALUE(TRIM(INDIRECT(ADDRESS(ROW()-1, COLUMN(A2289)))))), INDIRECT(ADDRESS(ROW()-2, COLUMN(R2289)))+1, INDIRECT(ADDRESS(ROW()-1, COLUMN(R2289))))</f>
        <v>18</v>
      </c>
    </row>
    <row r="2494" spans="1:18" ht="24">
      <c r="A2494" s="339">
        <v>66.186999999999998</v>
      </c>
      <c r="B2494" s="334" t="s">
        <v>4444</v>
      </c>
      <c r="C2494" s="340" t="s">
        <v>4445</v>
      </c>
      <c r="D2494" s="341">
        <v>565.71</v>
      </c>
      <c r="E2494" s="341">
        <v>141.4</v>
      </c>
      <c r="F2494" s="341">
        <v>408.4</v>
      </c>
      <c r="G2494" s="341">
        <v>15.91</v>
      </c>
      <c r="H2494" s="342">
        <v>5618.55</v>
      </c>
      <c r="I2494" s="342">
        <f>1845.34</f>
        <v>1845.34</v>
      </c>
      <c r="J2494" s="342">
        <v>3631.21</v>
      </c>
      <c r="K2494" s="342">
        <v>142</v>
      </c>
      <c r="L2494" s="357">
        <f>IF(565.71=0, "-", 5618.55/565.71)</f>
        <v>9.9318555443601841</v>
      </c>
      <c r="M2494" s="357">
        <v>13.05</v>
      </c>
      <c r="N2494" s="357">
        <f>IF(408.4=0, "-", 3631.21/408.4)</f>
        <v>8.8913075416258582</v>
      </c>
      <c r="O2494" s="357">
        <f>IF(15.91=0, "-", 142/15.91)</f>
        <v>8.9252042740414836</v>
      </c>
      <c r="P2494" s="343"/>
      <c r="Q2494" s="343"/>
      <c r="R2494" s="343">
        <f ca="1">IF(ISERROR(VALUE(TRIM(INDIRECT(ADDRESS(ROW()-1, COLUMN(A2289)))))), INDIRECT(ADDRESS(ROW()-2, COLUMN(R2289)))+1, INDIRECT(ADDRESS(ROW()-1, COLUMN(R2289))))</f>
        <v>18</v>
      </c>
    </row>
    <row r="2495" spans="1:18" ht="24">
      <c r="A2495" s="339">
        <v>66.188000000000002</v>
      </c>
      <c r="B2495" s="334" t="s">
        <v>4446</v>
      </c>
      <c r="C2495" s="340" t="s">
        <v>4447</v>
      </c>
      <c r="D2495" s="341">
        <v>626.30999999999995</v>
      </c>
      <c r="E2495" s="341">
        <v>163.62</v>
      </c>
      <c r="F2495" s="341">
        <v>437.53</v>
      </c>
      <c r="G2495" s="341">
        <v>25.16</v>
      </c>
      <c r="H2495" s="342">
        <v>6256.13</v>
      </c>
      <c r="I2495" s="342">
        <f>2135.32</f>
        <v>2135.3200000000002</v>
      </c>
      <c r="J2495" s="342">
        <v>3896.18</v>
      </c>
      <c r="K2495" s="342">
        <v>224.63</v>
      </c>
      <c r="L2495" s="357">
        <f>IF(626.31=0, "-", 6256.13/626.31)</f>
        <v>9.9888713257013304</v>
      </c>
      <c r="M2495" s="357">
        <v>13.05</v>
      </c>
      <c r="N2495" s="357">
        <f>IF(437.53=0, "-", 3896.18/437.53)</f>
        <v>8.9049436610061026</v>
      </c>
      <c r="O2495" s="357">
        <f>IF(25.16=0, "-", 224.63/25.16)</f>
        <v>8.9280604133545314</v>
      </c>
      <c r="P2495" s="343"/>
      <c r="Q2495" s="343"/>
      <c r="R2495" s="343">
        <f ca="1">IF(ISERROR(VALUE(TRIM(INDIRECT(ADDRESS(ROW()-1, COLUMN(A2289)))))), INDIRECT(ADDRESS(ROW()-2, COLUMN(R2289)))+1, INDIRECT(ADDRESS(ROW()-1, COLUMN(R2289))))</f>
        <v>18</v>
      </c>
    </row>
    <row r="2496" spans="1:18" ht="24">
      <c r="A2496" s="339">
        <v>66.188999999999993</v>
      </c>
      <c r="B2496" s="334" t="s">
        <v>4448</v>
      </c>
      <c r="C2496" s="340" t="s">
        <v>4449</v>
      </c>
      <c r="D2496" s="341">
        <v>190.95</v>
      </c>
      <c r="E2496" s="341">
        <v>34.950000000000003</v>
      </c>
      <c r="F2496" s="341">
        <v>155.47999999999999</v>
      </c>
      <c r="G2496" s="341">
        <v>0.52</v>
      </c>
      <c r="H2496" s="342">
        <v>1791.41</v>
      </c>
      <c r="I2496" s="342">
        <f>456.06</f>
        <v>456.06</v>
      </c>
      <c r="J2496" s="342">
        <v>1330.72</v>
      </c>
      <c r="K2496" s="342">
        <v>4.63</v>
      </c>
      <c r="L2496" s="357">
        <f>IF(190.95=0, "-", 1791.41/190.95)</f>
        <v>9.3815658549358485</v>
      </c>
      <c r="M2496" s="357">
        <v>13.05</v>
      </c>
      <c r="N2496" s="357">
        <f>IF(155.48=0, "-", 1330.72/155.48)</f>
        <v>8.5587856959094424</v>
      </c>
      <c r="O2496" s="357">
        <f>IF(0.52=0, "-", 4.63/0.52)</f>
        <v>8.9038461538461533</v>
      </c>
      <c r="P2496" s="343"/>
      <c r="Q2496" s="343"/>
      <c r="R2496" s="343">
        <f ca="1">IF(ISERROR(VALUE(TRIM(INDIRECT(ADDRESS(ROW()-1, COLUMN(A2289)))))), INDIRECT(ADDRESS(ROW()-2, COLUMN(R2289)))+1, INDIRECT(ADDRESS(ROW()-1, COLUMN(R2289))))</f>
        <v>18</v>
      </c>
    </row>
    <row r="2497" spans="1:18" ht="24">
      <c r="A2497" s="339">
        <v>66.19</v>
      </c>
      <c r="B2497" s="334" t="s">
        <v>4450</v>
      </c>
      <c r="C2497" s="340" t="s">
        <v>4451</v>
      </c>
      <c r="D2497" s="341">
        <v>234.98</v>
      </c>
      <c r="E2497" s="341">
        <v>45.75</v>
      </c>
      <c r="F2497" s="341">
        <v>188.19</v>
      </c>
      <c r="G2497" s="341">
        <v>1.04</v>
      </c>
      <c r="H2497" s="342">
        <v>2234.89</v>
      </c>
      <c r="I2497" s="342">
        <f>597.1</f>
        <v>597.1</v>
      </c>
      <c r="J2497" s="342">
        <v>1628.53</v>
      </c>
      <c r="K2497" s="342">
        <v>9.26</v>
      </c>
      <c r="L2497" s="357">
        <f>IF(234.98=0, "-", 2234.89/234.98)</f>
        <v>9.5109796578432206</v>
      </c>
      <c r="M2497" s="357">
        <v>13.05</v>
      </c>
      <c r="N2497" s="357">
        <f>IF(188.19=0, "-", 1628.53/188.19)</f>
        <v>8.6536479090281091</v>
      </c>
      <c r="O2497" s="357">
        <f>IF(1.04=0, "-", 9.26/1.04)</f>
        <v>8.9038461538461533</v>
      </c>
      <c r="P2497" s="343"/>
      <c r="Q2497" s="343"/>
      <c r="R2497" s="343">
        <f ca="1">IF(ISERROR(VALUE(TRIM(INDIRECT(ADDRESS(ROW()-1, COLUMN(A2289)))))), INDIRECT(ADDRESS(ROW()-2, COLUMN(R2289)))+1, INDIRECT(ADDRESS(ROW()-1, COLUMN(R2289))))</f>
        <v>18</v>
      </c>
    </row>
    <row r="2498" spans="1:18" ht="24">
      <c r="A2498" s="339">
        <v>66.191000000000003</v>
      </c>
      <c r="B2498" s="334" t="s">
        <v>4452</v>
      </c>
      <c r="C2498" s="340" t="s">
        <v>4453</v>
      </c>
      <c r="D2498" s="341">
        <v>271.77999999999997</v>
      </c>
      <c r="E2498" s="341">
        <v>56.06</v>
      </c>
      <c r="F2498" s="341">
        <v>213.57</v>
      </c>
      <c r="G2498" s="341">
        <v>2.15</v>
      </c>
      <c r="H2498" s="342">
        <v>2609.9299999999998</v>
      </c>
      <c r="I2498" s="342">
        <f>731.55</f>
        <v>731.55</v>
      </c>
      <c r="J2498" s="342">
        <v>1859.25</v>
      </c>
      <c r="K2498" s="342">
        <v>19.13</v>
      </c>
      <c r="L2498" s="357">
        <f>IF(271.78=0, "-", 2609.93/271.78)</f>
        <v>9.6030980940466559</v>
      </c>
      <c r="M2498" s="357">
        <v>13.05</v>
      </c>
      <c r="N2498" s="357">
        <f>IF(213.57=0, "-", 1859.25/213.57)</f>
        <v>8.7055766259306093</v>
      </c>
      <c r="O2498" s="357">
        <f>IF(2.15=0, "-", 19.13/2.15)</f>
        <v>8.8976744186046517</v>
      </c>
      <c r="P2498" s="343"/>
      <c r="Q2498" s="343"/>
      <c r="R2498" s="343">
        <f ca="1">IF(ISERROR(VALUE(TRIM(INDIRECT(ADDRESS(ROW()-1, COLUMN(A2289)))))), INDIRECT(ADDRESS(ROW()-2, COLUMN(R2289)))+1, INDIRECT(ADDRESS(ROW()-1, COLUMN(R2289))))</f>
        <v>18</v>
      </c>
    </row>
    <row r="2499" spans="1:18" ht="24">
      <c r="A2499" s="339">
        <v>66.191999999999993</v>
      </c>
      <c r="B2499" s="334" t="s">
        <v>4454</v>
      </c>
      <c r="C2499" s="340" t="s">
        <v>4455</v>
      </c>
      <c r="D2499" s="341">
        <v>310.07</v>
      </c>
      <c r="E2499" s="341">
        <v>67.47</v>
      </c>
      <c r="F2499" s="341">
        <v>238.76</v>
      </c>
      <c r="G2499" s="341">
        <v>3.84</v>
      </c>
      <c r="H2499" s="342">
        <v>3003.2</v>
      </c>
      <c r="I2499" s="342">
        <f>880.49</f>
        <v>880.49</v>
      </c>
      <c r="J2499" s="342">
        <v>2088.4699999999998</v>
      </c>
      <c r="K2499" s="342">
        <v>34.24</v>
      </c>
      <c r="L2499" s="357">
        <f>IF(310.07=0, "-", 3003.2/310.07)</f>
        <v>9.6855548747057121</v>
      </c>
      <c r="M2499" s="357">
        <v>13.05</v>
      </c>
      <c r="N2499" s="357">
        <f>IF(238.76=0, "-", 2088.47/238.76)</f>
        <v>8.7471519517507108</v>
      </c>
      <c r="O2499" s="357">
        <f>IF(3.84=0, "-", 34.24/3.84)</f>
        <v>8.9166666666666679</v>
      </c>
      <c r="P2499" s="343"/>
      <c r="Q2499" s="343"/>
      <c r="R2499" s="343">
        <f ca="1">IF(ISERROR(VALUE(TRIM(INDIRECT(ADDRESS(ROW()-1, COLUMN(A2289)))))), INDIRECT(ADDRESS(ROW()-2, COLUMN(R2289)))+1, INDIRECT(ADDRESS(ROW()-1, COLUMN(R2289))))</f>
        <v>18</v>
      </c>
    </row>
    <row r="2500" spans="1:18" ht="24">
      <c r="A2500" s="339">
        <v>66.192999999999998</v>
      </c>
      <c r="B2500" s="334" t="s">
        <v>4456</v>
      </c>
      <c r="C2500" s="340" t="s">
        <v>4457</v>
      </c>
      <c r="D2500" s="341">
        <v>373.42</v>
      </c>
      <c r="E2500" s="341">
        <v>79.59</v>
      </c>
      <c r="F2500" s="341">
        <v>289.07</v>
      </c>
      <c r="G2500" s="341">
        <v>4.76</v>
      </c>
      <c r="H2500" s="342">
        <v>3627.55</v>
      </c>
      <c r="I2500" s="342">
        <f>1038.66</f>
        <v>1038.6600000000001</v>
      </c>
      <c r="J2500" s="342">
        <v>2546.48</v>
      </c>
      <c r="K2500" s="342">
        <v>42.41</v>
      </c>
      <c r="L2500" s="357">
        <f>IF(373.42=0, "-", 3627.55/373.42)</f>
        <v>9.714396657918698</v>
      </c>
      <c r="M2500" s="357">
        <v>13.05</v>
      </c>
      <c r="N2500" s="357">
        <f>IF(289.07=0, "-", 2546.48/289.07)</f>
        <v>8.8092157608883657</v>
      </c>
      <c r="O2500" s="357">
        <f>IF(4.76=0, "-", 42.41/4.76)</f>
        <v>8.9096638655462179</v>
      </c>
      <c r="P2500" s="343"/>
      <c r="Q2500" s="343"/>
      <c r="R2500" s="343">
        <f ca="1">IF(ISERROR(VALUE(TRIM(INDIRECT(ADDRESS(ROW()-1, COLUMN(A2289)))))), INDIRECT(ADDRESS(ROW()-2, COLUMN(R2289)))+1, INDIRECT(ADDRESS(ROW()-1, COLUMN(R2289))))</f>
        <v>18</v>
      </c>
    </row>
    <row r="2501" spans="1:18" ht="24">
      <c r="A2501" s="339">
        <v>66.194000000000003</v>
      </c>
      <c r="B2501" s="334" t="s">
        <v>4458</v>
      </c>
      <c r="C2501" s="340" t="s">
        <v>4459</v>
      </c>
      <c r="D2501" s="341">
        <v>416.73</v>
      </c>
      <c r="E2501" s="341">
        <v>90.5</v>
      </c>
      <c r="F2501" s="341">
        <v>319.26</v>
      </c>
      <c r="G2501" s="341">
        <v>6.97</v>
      </c>
      <c r="H2501" s="342">
        <v>4064.53</v>
      </c>
      <c r="I2501" s="342">
        <f>1181.02</f>
        <v>1181.02</v>
      </c>
      <c r="J2501" s="342">
        <v>2821.36</v>
      </c>
      <c r="K2501" s="342">
        <v>62.15</v>
      </c>
      <c r="L2501" s="357">
        <f>IF(416.73=0, "-", 4064.53/416.73)</f>
        <v>9.7533894847983102</v>
      </c>
      <c r="M2501" s="357">
        <v>13.05</v>
      </c>
      <c r="N2501" s="357">
        <f>IF(319.26=0, "-", 2821.36/319.26)</f>
        <v>8.8371859926079068</v>
      </c>
      <c r="O2501" s="357">
        <f>IF(6.97=0, "-", 62.15/6.97)</f>
        <v>8.9167862266857956</v>
      </c>
      <c r="P2501" s="343"/>
      <c r="Q2501" s="343"/>
      <c r="R2501" s="343">
        <f ca="1">IF(ISERROR(VALUE(TRIM(INDIRECT(ADDRESS(ROW()-1, COLUMN(A2289)))))), INDIRECT(ADDRESS(ROW()-2, COLUMN(R2289)))+1, INDIRECT(ADDRESS(ROW()-1, COLUMN(R2289))))</f>
        <v>18</v>
      </c>
    </row>
    <row r="2502" spans="1:18" ht="24">
      <c r="A2502" s="339">
        <v>66.194999999999993</v>
      </c>
      <c r="B2502" s="334" t="s">
        <v>4460</v>
      </c>
      <c r="C2502" s="340" t="s">
        <v>4461</v>
      </c>
      <c r="D2502" s="341">
        <v>461.99</v>
      </c>
      <c r="E2502" s="341">
        <v>102.01</v>
      </c>
      <c r="F2502" s="341">
        <v>352.03</v>
      </c>
      <c r="G2502" s="341">
        <v>7.95</v>
      </c>
      <c r="H2502" s="342">
        <v>4521.79</v>
      </c>
      <c r="I2502" s="342">
        <f>1331.28</f>
        <v>1331.28</v>
      </c>
      <c r="J2502" s="342">
        <v>3119.58</v>
      </c>
      <c r="K2502" s="342">
        <v>70.930000000000007</v>
      </c>
      <c r="L2502" s="357">
        <f>IF(461.99=0, "-", 4521.79/461.99)</f>
        <v>9.7876360960193942</v>
      </c>
      <c r="M2502" s="357">
        <v>13.05</v>
      </c>
      <c r="N2502" s="357">
        <f>IF(352.03=0, "-", 3119.58/352.03)</f>
        <v>8.8616879243246327</v>
      </c>
      <c r="O2502" s="357">
        <f>IF(7.95=0, "-", 70.93/7.95)</f>
        <v>8.9220125786163536</v>
      </c>
      <c r="P2502" s="343"/>
      <c r="Q2502" s="343"/>
      <c r="R2502" s="343">
        <f ca="1">IF(ISERROR(VALUE(TRIM(INDIRECT(ADDRESS(ROW()-1, COLUMN(A2289)))))), INDIRECT(ADDRESS(ROW()-2, COLUMN(R2289)))+1, INDIRECT(ADDRESS(ROW()-1, COLUMN(R2289))))</f>
        <v>18</v>
      </c>
    </row>
    <row r="2503" spans="1:18" ht="24">
      <c r="A2503" s="339">
        <v>66.195999999999998</v>
      </c>
      <c r="B2503" s="334" t="s">
        <v>4462</v>
      </c>
      <c r="C2503" s="340" t="s">
        <v>4463</v>
      </c>
      <c r="D2503" s="341">
        <v>509.37</v>
      </c>
      <c r="E2503" s="341">
        <v>114.13</v>
      </c>
      <c r="F2503" s="341">
        <v>386.11</v>
      </c>
      <c r="G2503" s="341">
        <v>9.1300000000000008</v>
      </c>
      <c r="H2503" s="342">
        <v>5000.5200000000004</v>
      </c>
      <c r="I2503" s="342">
        <f>1489.45</f>
        <v>1489.45</v>
      </c>
      <c r="J2503" s="342">
        <v>3429.66</v>
      </c>
      <c r="K2503" s="342">
        <v>81.41</v>
      </c>
      <c r="L2503" s="357">
        <f>IF(509.37=0, "-", 5000.52/509.37)</f>
        <v>9.8170681430001778</v>
      </c>
      <c r="M2503" s="357">
        <v>13.05</v>
      </c>
      <c r="N2503" s="357">
        <f>IF(386.11=0, "-", 3429.66/386.11)</f>
        <v>8.8825982233042389</v>
      </c>
      <c r="O2503" s="357">
        <f>IF(9.13=0, "-", 81.41/9.13)</f>
        <v>8.9167579408543247</v>
      </c>
      <c r="P2503" s="343"/>
      <c r="Q2503" s="343"/>
      <c r="R2503" s="343">
        <f ca="1">IF(ISERROR(VALUE(TRIM(INDIRECT(ADDRESS(ROW()-1, COLUMN(A2289)))))), INDIRECT(ADDRESS(ROW()-2, COLUMN(R2289)))+1, INDIRECT(ADDRESS(ROW()-1, COLUMN(R2289))))</f>
        <v>18</v>
      </c>
    </row>
    <row r="2504" spans="1:18" ht="24">
      <c r="A2504" s="339">
        <v>66.197000000000003</v>
      </c>
      <c r="B2504" s="334" t="s">
        <v>4464</v>
      </c>
      <c r="C2504" s="340" t="s">
        <v>4465</v>
      </c>
      <c r="D2504" s="341">
        <v>564.23</v>
      </c>
      <c r="E2504" s="341">
        <v>130.29</v>
      </c>
      <c r="F2504" s="341">
        <v>423.84</v>
      </c>
      <c r="G2504" s="341">
        <v>10.1</v>
      </c>
      <c r="H2504" s="342">
        <v>5563.66</v>
      </c>
      <c r="I2504" s="342">
        <f>1700.35</f>
        <v>1700.35</v>
      </c>
      <c r="J2504" s="342">
        <v>3773.12</v>
      </c>
      <c r="K2504" s="342">
        <v>90.19</v>
      </c>
      <c r="L2504" s="357">
        <f>IF(564.23=0, "-", 5563.66/564.23)</f>
        <v>9.8606242135299436</v>
      </c>
      <c r="M2504" s="357">
        <v>13.05</v>
      </c>
      <c r="N2504" s="357">
        <f>IF(423.84=0, "-", 3773.12/423.84)</f>
        <v>8.902227255568139</v>
      </c>
      <c r="O2504" s="357">
        <f>IF(10.1=0, "-", 90.19/10.1)</f>
        <v>8.9297029702970292</v>
      </c>
      <c r="P2504" s="343"/>
      <c r="Q2504" s="343"/>
      <c r="R2504" s="343">
        <f ca="1">IF(ISERROR(VALUE(TRIM(INDIRECT(ADDRESS(ROW()-1, COLUMN(A2289)))))), INDIRECT(ADDRESS(ROW()-2, COLUMN(R2289)))+1, INDIRECT(ADDRESS(ROW()-1, COLUMN(R2289))))</f>
        <v>18</v>
      </c>
    </row>
    <row r="2505" spans="1:18" ht="24">
      <c r="A2505" s="339">
        <v>66.197999999999993</v>
      </c>
      <c r="B2505" s="334" t="s">
        <v>4466</v>
      </c>
      <c r="C2505" s="340" t="s">
        <v>4467</v>
      </c>
      <c r="D2505" s="341">
        <v>607.73</v>
      </c>
      <c r="E2505" s="341">
        <v>141.4</v>
      </c>
      <c r="F2505" s="341">
        <v>453.03</v>
      </c>
      <c r="G2505" s="341">
        <v>13.3</v>
      </c>
      <c r="H2505" s="342">
        <v>6002.56</v>
      </c>
      <c r="I2505" s="342">
        <f>1845.34</f>
        <v>1845.34</v>
      </c>
      <c r="J2505" s="342">
        <v>4038.51</v>
      </c>
      <c r="K2505" s="342">
        <v>118.71</v>
      </c>
      <c r="L2505" s="357">
        <f>IF(607.73=0, "-", 6002.56/607.73)</f>
        <v>9.8770177545949682</v>
      </c>
      <c r="M2505" s="357">
        <v>13.05</v>
      </c>
      <c r="N2505" s="357">
        <f>IF(453.03=0, "-", 4038.51/453.03)</f>
        <v>8.9144427521356207</v>
      </c>
      <c r="O2505" s="357">
        <f>IF(13.3=0, "-", 118.71/13.3)</f>
        <v>8.9255639097744357</v>
      </c>
      <c r="P2505" s="343"/>
      <c r="Q2505" s="343"/>
      <c r="R2505" s="343">
        <f ca="1">IF(ISERROR(VALUE(TRIM(INDIRECT(ADDRESS(ROW()-1, COLUMN(A2289)))))), INDIRECT(ADDRESS(ROW()-2, COLUMN(R2289)))+1, INDIRECT(ADDRESS(ROW()-1, COLUMN(R2289))))</f>
        <v>18</v>
      </c>
    </row>
    <row r="2506" spans="1:18" ht="24">
      <c r="A2506" s="339">
        <v>66.198999999999998</v>
      </c>
      <c r="B2506" s="334" t="s">
        <v>4468</v>
      </c>
      <c r="C2506" s="340" t="s">
        <v>4469</v>
      </c>
      <c r="D2506" s="341">
        <v>664.83</v>
      </c>
      <c r="E2506" s="341">
        <v>161.6</v>
      </c>
      <c r="F2506" s="341">
        <v>487.32</v>
      </c>
      <c r="G2506" s="341">
        <v>15.91</v>
      </c>
      <c r="H2506" s="342">
        <v>6601.16</v>
      </c>
      <c r="I2506" s="342">
        <f>2108.96</f>
        <v>2108.96</v>
      </c>
      <c r="J2506" s="342">
        <v>4350.2</v>
      </c>
      <c r="K2506" s="342">
        <v>142</v>
      </c>
      <c r="L2506" s="357">
        <f>IF(664.83=0, "-", 6601.16/664.83)</f>
        <v>9.9290946557766642</v>
      </c>
      <c r="M2506" s="357">
        <v>13.05</v>
      </c>
      <c r="N2506" s="357">
        <f>IF(487.32=0, "-", 4350.2/487.32)</f>
        <v>8.9267832225231878</v>
      </c>
      <c r="O2506" s="357">
        <f>IF(15.91=0, "-", 142/15.91)</f>
        <v>8.9252042740414836</v>
      </c>
      <c r="P2506" s="343"/>
      <c r="Q2506" s="343"/>
      <c r="R2506" s="343">
        <f ca="1">IF(ISERROR(VALUE(TRIM(INDIRECT(ADDRESS(ROW()-1, COLUMN(A2289)))))), INDIRECT(ADDRESS(ROW()-2, COLUMN(R2289)))+1, INDIRECT(ADDRESS(ROW()-1, COLUMN(R2289))))</f>
        <v>18</v>
      </c>
    </row>
    <row r="2507" spans="1:18" ht="24">
      <c r="A2507" s="339">
        <v>66.2</v>
      </c>
      <c r="B2507" s="334" t="s">
        <v>4470</v>
      </c>
      <c r="C2507" s="340" t="s">
        <v>4471</v>
      </c>
      <c r="D2507" s="341">
        <v>731.46</v>
      </c>
      <c r="E2507" s="341">
        <v>184.83</v>
      </c>
      <c r="F2507" s="341">
        <v>521.47</v>
      </c>
      <c r="G2507" s="341">
        <v>25.16</v>
      </c>
      <c r="H2507" s="342">
        <v>7297.57</v>
      </c>
      <c r="I2507" s="342">
        <f>2412.12</f>
        <v>2412.12</v>
      </c>
      <c r="J2507" s="342">
        <v>4660.82</v>
      </c>
      <c r="K2507" s="342">
        <v>224.63</v>
      </c>
      <c r="L2507" s="357">
        <f>IF(731.46=0, "-", 7297.57/731.46)</f>
        <v>9.9767177972821468</v>
      </c>
      <c r="M2507" s="357">
        <v>13.05</v>
      </c>
      <c r="N2507" s="357">
        <f>IF(521.47=0, "-", 4660.82/521.47)</f>
        <v>8.9378487736590788</v>
      </c>
      <c r="O2507" s="357">
        <f>IF(25.16=0, "-", 224.63/25.16)</f>
        <v>8.9280604133545314</v>
      </c>
      <c r="P2507" s="343"/>
      <c r="Q2507" s="343"/>
      <c r="R2507" s="343">
        <f ca="1">IF(ISERROR(VALUE(TRIM(INDIRECT(ADDRESS(ROW()-1, COLUMN(A2289)))))), INDIRECT(ADDRESS(ROW()-2, COLUMN(R2289)))+1, INDIRECT(ADDRESS(ROW()-1, COLUMN(R2289))))</f>
        <v>18</v>
      </c>
    </row>
    <row r="2508" spans="1:18" ht="12.75">
      <c r="A2508" s="426" t="s">
        <v>4472</v>
      </c>
      <c r="B2508" s="427"/>
      <c r="C2508" s="427"/>
      <c r="D2508" s="427"/>
      <c r="E2508" s="427"/>
      <c r="F2508" s="427"/>
      <c r="G2508" s="427"/>
      <c r="H2508" s="427"/>
      <c r="I2508" s="427"/>
      <c r="J2508" s="427"/>
      <c r="K2508" s="427"/>
      <c r="L2508" s="427"/>
      <c r="M2508" s="427"/>
      <c r="N2508" s="427"/>
      <c r="O2508" s="427"/>
      <c r="P2508" s="427"/>
      <c r="Q2508" s="427"/>
      <c r="R2508" s="427"/>
    </row>
    <row r="2509" spans="1:18" ht="24">
      <c r="A2509" s="339">
        <v>66.200999999999993</v>
      </c>
      <c r="B2509" s="334" t="s">
        <v>4473</v>
      </c>
      <c r="C2509" s="340" t="s">
        <v>4474</v>
      </c>
      <c r="D2509" s="341">
        <v>210.45</v>
      </c>
      <c r="E2509" s="341">
        <v>58.55</v>
      </c>
      <c r="F2509" s="341">
        <v>150.91999999999999</v>
      </c>
      <c r="G2509" s="341">
        <v>0.98</v>
      </c>
      <c r="H2509" s="342">
        <v>2061.35</v>
      </c>
      <c r="I2509" s="342">
        <f>764.04</f>
        <v>764.04</v>
      </c>
      <c r="J2509" s="342">
        <v>1288.52</v>
      </c>
      <c r="K2509" s="342">
        <v>8.7899999999999991</v>
      </c>
      <c r="L2509" s="357">
        <f>IF(210.45=0, "-", 2061.35/210.45)</f>
        <v>9.7949631741506291</v>
      </c>
      <c r="M2509" s="357">
        <v>13.05</v>
      </c>
      <c r="N2509" s="357">
        <f>IF(150.92=0, "-", 1288.52/150.92)</f>
        <v>8.5377683540948848</v>
      </c>
      <c r="O2509" s="357">
        <f>IF(0.98=0, "-", 8.79/0.98)</f>
        <v>8.9693877551020407</v>
      </c>
      <c r="P2509" s="343"/>
      <c r="Q2509" s="343"/>
      <c r="R2509" s="343">
        <f ca="1">IF(ISERROR(VALUE(TRIM(INDIRECT(ADDRESS(ROW()-1, COLUMN(A2289)))))), INDIRECT(ADDRESS(ROW()-2, COLUMN(R2289)))+1, INDIRECT(ADDRESS(ROW()-1, COLUMN(R2289))))</f>
        <v>19</v>
      </c>
    </row>
    <row r="2510" spans="1:18" ht="24">
      <c r="A2510" s="339">
        <v>66.201999999999998</v>
      </c>
      <c r="B2510" s="334" t="s">
        <v>4475</v>
      </c>
      <c r="C2510" s="340" t="s">
        <v>4476</v>
      </c>
      <c r="D2510" s="341">
        <v>295.44</v>
      </c>
      <c r="E2510" s="341">
        <v>92.69</v>
      </c>
      <c r="F2510" s="341">
        <v>201.31</v>
      </c>
      <c r="G2510" s="341">
        <v>1.44</v>
      </c>
      <c r="H2510" s="342">
        <v>2969.72</v>
      </c>
      <c r="I2510" s="342">
        <f>1209.62</f>
        <v>1209.6199999999999</v>
      </c>
      <c r="J2510" s="342">
        <v>1747.17</v>
      </c>
      <c r="K2510" s="342">
        <v>12.93</v>
      </c>
      <c r="L2510" s="357">
        <f>IF(295.44=0, "-", 2969.72/295.44)</f>
        <v>10.05185486054698</v>
      </c>
      <c r="M2510" s="357">
        <v>13.05</v>
      </c>
      <c r="N2510" s="357">
        <f>IF(201.31=0, "-", 1747.17/201.31)</f>
        <v>8.6790025334061891</v>
      </c>
      <c r="O2510" s="357">
        <f>IF(1.44=0, "-", 12.93/1.44)</f>
        <v>8.9791666666666661</v>
      </c>
      <c r="P2510" s="343"/>
      <c r="Q2510" s="343"/>
      <c r="R2510" s="343">
        <f ca="1">IF(ISERROR(VALUE(TRIM(INDIRECT(ADDRESS(ROW()-1, COLUMN(A2289)))))), INDIRECT(ADDRESS(ROW()-2, COLUMN(R2289)))+1, INDIRECT(ADDRESS(ROW()-1, COLUMN(R2289))))</f>
        <v>19</v>
      </c>
    </row>
    <row r="2511" spans="1:18" ht="24">
      <c r="A2511" s="339">
        <v>66.203000000000003</v>
      </c>
      <c r="B2511" s="334" t="s">
        <v>4477</v>
      </c>
      <c r="C2511" s="340" t="s">
        <v>4478</v>
      </c>
      <c r="D2511" s="341">
        <v>393.83</v>
      </c>
      <c r="E2511" s="341">
        <v>139.72999999999999</v>
      </c>
      <c r="F2511" s="341">
        <v>252.08</v>
      </c>
      <c r="G2511" s="341">
        <v>2.02</v>
      </c>
      <c r="H2511" s="342">
        <v>4050.37</v>
      </c>
      <c r="I2511" s="342">
        <f>1823.42</f>
        <v>1823.42</v>
      </c>
      <c r="J2511" s="342">
        <v>2208.63</v>
      </c>
      <c r="K2511" s="342">
        <v>18.32</v>
      </c>
      <c r="L2511" s="357">
        <f>IF(393.83=0, "-", 4050.37/393.83)</f>
        <v>10.284564405961964</v>
      </c>
      <c r="M2511" s="357">
        <v>13.05</v>
      </c>
      <c r="N2511" s="357">
        <f>IF(252.08=0, "-", 2208.63/252.08)</f>
        <v>8.7616232941923204</v>
      </c>
      <c r="O2511" s="357">
        <f>IF(2.02=0, "-", 18.32/2.02)</f>
        <v>9.0693069306930685</v>
      </c>
      <c r="P2511" s="343"/>
      <c r="Q2511" s="343"/>
      <c r="R2511" s="343">
        <f ca="1">IF(ISERROR(VALUE(TRIM(INDIRECT(ADDRESS(ROW()-1, COLUMN(A2289)))))), INDIRECT(ADDRESS(ROW()-2, COLUMN(R2289)))+1, INDIRECT(ADDRESS(ROW()-1, COLUMN(R2289))))</f>
        <v>19</v>
      </c>
    </row>
    <row r="2512" spans="1:18" ht="24">
      <c r="A2512" s="339">
        <v>66.203999999999994</v>
      </c>
      <c r="B2512" s="334" t="s">
        <v>4479</v>
      </c>
      <c r="C2512" s="340" t="s">
        <v>4480</v>
      </c>
      <c r="D2512" s="341">
        <v>486.11</v>
      </c>
      <c r="E2512" s="341">
        <v>181.06</v>
      </c>
      <c r="F2512" s="341">
        <v>302.44</v>
      </c>
      <c r="G2512" s="341">
        <v>2.61</v>
      </c>
      <c r="H2512" s="342">
        <v>5053.49</v>
      </c>
      <c r="I2512" s="342">
        <f>2362.74</f>
        <v>2362.7399999999998</v>
      </c>
      <c r="J2512" s="342">
        <v>2667.06</v>
      </c>
      <c r="K2512" s="342">
        <v>23.69</v>
      </c>
      <c r="L2512" s="357">
        <f>IF(486.11=0, "-", 5053.49/486.11)</f>
        <v>10.395774618913414</v>
      </c>
      <c r="M2512" s="357">
        <v>13.05</v>
      </c>
      <c r="N2512" s="357">
        <f>IF(302.44=0, "-", 2667.06/302.44)</f>
        <v>8.8184763920116378</v>
      </c>
      <c r="O2512" s="357">
        <f>IF(2.61=0, "-", 23.69/2.61)</f>
        <v>9.0766283524904221</v>
      </c>
      <c r="P2512" s="343"/>
      <c r="Q2512" s="343"/>
      <c r="R2512" s="343">
        <f ca="1">IF(ISERROR(VALUE(TRIM(INDIRECT(ADDRESS(ROW()-1, COLUMN(A2289)))))), INDIRECT(ADDRESS(ROW()-2, COLUMN(R2289)))+1, INDIRECT(ADDRESS(ROW()-1, COLUMN(R2289))))</f>
        <v>19</v>
      </c>
    </row>
    <row r="2513" spans="1:18" ht="24">
      <c r="A2513" s="339">
        <v>66.204999999999998</v>
      </c>
      <c r="B2513" s="334" t="s">
        <v>4481</v>
      </c>
      <c r="C2513" s="340" t="s">
        <v>4482</v>
      </c>
      <c r="D2513" s="341">
        <v>586.03</v>
      </c>
      <c r="E2513" s="341">
        <v>224.35</v>
      </c>
      <c r="F2513" s="341">
        <v>357.96</v>
      </c>
      <c r="G2513" s="341">
        <v>3.72</v>
      </c>
      <c r="H2513" s="342">
        <v>6133.82</v>
      </c>
      <c r="I2513" s="342">
        <f>2927.75</f>
        <v>2927.75</v>
      </c>
      <c r="J2513" s="342">
        <v>3172.23</v>
      </c>
      <c r="K2513" s="342">
        <v>33.840000000000003</v>
      </c>
      <c r="L2513" s="357">
        <f>IF(586.03=0, "-", 6133.82/586.03)</f>
        <v>10.466733784959814</v>
      </c>
      <c r="M2513" s="357">
        <v>13.05</v>
      </c>
      <c r="N2513" s="357">
        <f>IF(357.96=0, "-", 3172.23/357.96)</f>
        <v>8.8619678176332553</v>
      </c>
      <c r="O2513" s="357">
        <f>IF(3.72=0, "-", 33.84/3.72)</f>
        <v>9.0967741935483879</v>
      </c>
      <c r="P2513" s="343"/>
      <c r="Q2513" s="343"/>
      <c r="R2513" s="343">
        <f ca="1">IF(ISERROR(VALUE(TRIM(INDIRECT(ADDRESS(ROW()-1, COLUMN(A2289)))))), INDIRECT(ADDRESS(ROW()-2, COLUMN(R2289)))+1, INDIRECT(ADDRESS(ROW()-1, COLUMN(R2289))))</f>
        <v>19</v>
      </c>
    </row>
    <row r="2514" spans="1:18" ht="24">
      <c r="A2514" s="339">
        <v>66.206000000000003</v>
      </c>
      <c r="B2514" s="334" t="s">
        <v>4483</v>
      </c>
      <c r="C2514" s="340" t="s">
        <v>4484</v>
      </c>
      <c r="D2514" s="341">
        <v>678.91</v>
      </c>
      <c r="E2514" s="341">
        <v>265.68</v>
      </c>
      <c r="F2514" s="341">
        <v>408.33</v>
      </c>
      <c r="G2514" s="341">
        <v>4.9000000000000004</v>
      </c>
      <c r="H2514" s="342">
        <v>7142.34</v>
      </c>
      <c r="I2514" s="342">
        <f>3467.07</f>
        <v>3467.07</v>
      </c>
      <c r="J2514" s="342">
        <v>3630.67</v>
      </c>
      <c r="K2514" s="342">
        <v>44.6</v>
      </c>
      <c r="L2514" s="357">
        <f>IF(678.91=0, "-", 7142.34/678.91)</f>
        <v>10.520304605912418</v>
      </c>
      <c r="M2514" s="357">
        <v>13.05</v>
      </c>
      <c r="N2514" s="357">
        <f>IF(408.33=0, "-", 3630.67/408.33)</f>
        <v>8.8915093184434166</v>
      </c>
      <c r="O2514" s="357">
        <f>IF(4.9=0, "-", 44.6/4.9)</f>
        <v>9.1020408163265305</v>
      </c>
      <c r="P2514" s="343"/>
      <c r="Q2514" s="343"/>
      <c r="R2514" s="343">
        <f ca="1">IF(ISERROR(VALUE(TRIM(INDIRECT(ADDRESS(ROW()-1, COLUMN(A2289)))))), INDIRECT(ADDRESS(ROW()-2, COLUMN(R2289)))+1, INDIRECT(ADDRESS(ROW()-1, COLUMN(R2289))))</f>
        <v>19</v>
      </c>
    </row>
    <row r="2515" spans="1:18" ht="24">
      <c r="A2515" s="339">
        <v>66.206999999999994</v>
      </c>
      <c r="B2515" s="334" t="s">
        <v>4485</v>
      </c>
      <c r="C2515" s="340" t="s">
        <v>4486</v>
      </c>
      <c r="D2515" s="341">
        <v>946.75</v>
      </c>
      <c r="E2515" s="341">
        <v>477.24</v>
      </c>
      <c r="F2515" s="341">
        <v>462.59</v>
      </c>
      <c r="G2515" s="341">
        <v>6.92</v>
      </c>
      <c r="H2515" s="342">
        <v>10415.370000000001</v>
      </c>
      <c r="I2515" s="342">
        <f>6227.89</f>
        <v>6227.89</v>
      </c>
      <c r="J2515" s="342">
        <v>4124.43</v>
      </c>
      <c r="K2515" s="342">
        <v>63.05</v>
      </c>
      <c r="L2515" s="357">
        <f>IF(946.75=0, "-", 10415.37/946.75)</f>
        <v>11.001182994454714</v>
      </c>
      <c r="M2515" s="357">
        <v>13.05</v>
      </c>
      <c r="N2515" s="357">
        <f>IF(462.59=0, "-", 4124.43/462.59)</f>
        <v>8.9159514905207651</v>
      </c>
      <c r="O2515" s="357">
        <f>IF(6.92=0, "-", 63.05/6.92)</f>
        <v>9.1112716763005785</v>
      </c>
      <c r="P2515" s="343"/>
      <c r="Q2515" s="343"/>
      <c r="R2515" s="343">
        <f ca="1">IF(ISERROR(VALUE(TRIM(INDIRECT(ADDRESS(ROW()-1, COLUMN(A2289)))))), INDIRECT(ADDRESS(ROW()-2, COLUMN(R2289)))+1, INDIRECT(ADDRESS(ROW()-1, COLUMN(R2289))))</f>
        <v>19</v>
      </c>
    </row>
    <row r="2516" spans="1:18" ht="24">
      <c r="A2516" s="339">
        <v>66.207999999999998</v>
      </c>
      <c r="B2516" s="334" t="s">
        <v>4487</v>
      </c>
      <c r="C2516" s="340" t="s">
        <v>4488</v>
      </c>
      <c r="D2516" s="341">
        <v>1046.2</v>
      </c>
      <c r="E2516" s="341">
        <v>521.52</v>
      </c>
      <c r="F2516" s="341">
        <v>516.97</v>
      </c>
      <c r="G2516" s="341">
        <v>7.71</v>
      </c>
      <c r="H2516" s="342">
        <v>11495.04</v>
      </c>
      <c r="I2516" s="342">
        <f>6805.73</f>
        <v>6805.73</v>
      </c>
      <c r="J2516" s="342">
        <v>4619.04</v>
      </c>
      <c r="K2516" s="342">
        <v>70.27</v>
      </c>
      <c r="L2516" s="357">
        <f>IF(1046.2=0, "-", 11495.04/1046.2)</f>
        <v>10.987421143184859</v>
      </c>
      <c r="M2516" s="357">
        <v>13.05</v>
      </c>
      <c r="N2516" s="357">
        <f>IF(516.97=0, "-", 4619.04/516.97)</f>
        <v>8.9348318084221514</v>
      </c>
      <c r="O2516" s="357">
        <f>IF(7.71=0, "-", 70.27/7.71)</f>
        <v>9.1141374837872888</v>
      </c>
      <c r="P2516" s="343"/>
      <c r="Q2516" s="343"/>
      <c r="R2516" s="343">
        <f ca="1">IF(ISERROR(VALUE(TRIM(INDIRECT(ADDRESS(ROW()-1, COLUMN(A2289)))))), INDIRECT(ADDRESS(ROW()-2, COLUMN(R2289)))+1, INDIRECT(ADDRESS(ROW()-1, COLUMN(R2289))))</f>
        <v>19</v>
      </c>
    </row>
    <row r="2517" spans="1:18" ht="24">
      <c r="A2517" s="339">
        <v>66.209000000000003</v>
      </c>
      <c r="B2517" s="334" t="s">
        <v>4489</v>
      </c>
      <c r="C2517" s="340" t="s">
        <v>4490</v>
      </c>
      <c r="D2517" s="341">
        <v>1216.5</v>
      </c>
      <c r="E2517" s="341">
        <v>640.58000000000004</v>
      </c>
      <c r="F2517" s="341">
        <v>567.36</v>
      </c>
      <c r="G2517" s="341">
        <v>8.56</v>
      </c>
      <c r="H2517" s="342">
        <v>13515.29</v>
      </c>
      <c r="I2517" s="342">
        <f>8359.49</f>
        <v>8359.49</v>
      </c>
      <c r="J2517" s="342">
        <v>5077.7</v>
      </c>
      <c r="K2517" s="342">
        <v>78.099999999999994</v>
      </c>
      <c r="L2517" s="357">
        <f>IF(1216.5=0, "-", 13515.29/1216.5)</f>
        <v>11.109979449239622</v>
      </c>
      <c r="M2517" s="357">
        <v>13.05</v>
      </c>
      <c r="N2517" s="357">
        <f>IF(567.36=0, "-", 5077.7/567.36)</f>
        <v>8.9496968415115621</v>
      </c>
      <c r="O2517" s="357">
        <f>IF(8.56=0, "-", 78.1/8.56)</f>
        <v>9.1238317757009337</v>
      </c>
      <c r="P2517" s="343"/>
      <c r="Q2517" s="343"/>
      <c r="R2517" s="343">
        <f ca="1">IF(ISERROR(VALUE(TRIM(INDIRECT(ADDRESS(ROW()-1, COLUMN(A2289)))))), INDIRECT(ADDRESS(ROW()-2, COLUMN(R2289)))+1, INDIRECT(ADDRESS(ROW()-1, COLUMN(R2289))))</f>
        <v>19</v>
      </c>
    </row>
    <row r="2518" spans="1:18" ht="24">
      <c r="A2518" s="339">
        <v>66.209999999999994</v>
      </c>
      <c r="B2518" s="334" t="s">
        <v>4491</v>
      </c>
      <c r="C2518" s="340" t="s">
        <v>4492</v>
      </c>
      <c r="D2518" s="341">
        <v>1414.77</v>
      </c>
      <c r="E2518" s="341">
        <v>785.23</v>
      </c>
      <c r="F2518" s="341">
        <v>618.24</v>
      </c>
      <c r="G2518" s="341">
        <v>11.3</v>
      </c>
      <c r="H2518" s="342">
        <v>15890.29</v>
      </c>
      <c r="I2518" s="342">
        <f>10247.12</f>
        <v>10247.120000000001</v>
      </c>
      <c r="J2518" s="342">
        <v>5540.01</v>
      </c>
      <c r="K2518" s="342">
        <v>103.16</v>
      </c>
      <c r="L2518" s="357">
        <f>IF(1414.77=0, "-", 15890.29/1414.77)</f>
        <v>11.231712575188901</v>
      </c>
      <c r="M2518" s="357">
        <v>13.05</v>
      </c>
      <c r="N2518" s="357">
        <f>IF(618.24=0, "-", 5540.01/618.24)</f>
        <v>8.9609375</v>
      </c>
      <c r="O2518" s="357">
        <f>IF(11.3=0, "-", 103.16/11.3)</f>
        <v>9.129203539823008</v>
      </c>
      <c r="P2518" s="343"/>
      <c r="Q2518" s="343"/>
      <c r="R2518" s="343">
        <f ca="1">IF(ISERROR(VALUE(TRIM(INDIRECT(ADDRESS(ROW()-1, COLUMN(A2289)))))), INDIRECT(ADDRESS(ROW()-2, COLUMN(R2289)))+1, INDIRECT(ADDRESS(ROW()-1, COLUMN(R2289))))</f>
        <v>19</v>
      </c>
    </row>
    <row r="2519" spans="1:18" ht="24">
      <c r="A2519" s="339">
        <v>66.210999999999999</v>
      </c>
      <c r="B2519" s="334" t="s">
        <v>4493</v>
      </c>
      <c r="C2519" s="340" t="s">
        <v>4494</v>
      </c>
      <c r="D2519" s="341">
        <v>1701.14</v>
      </c>
      <c r="E2519" s="341">
        <v>1013.52</v>
      </c>
      <c r="F2519" s="341">
        <v>674.29</v>
      </c>
      <c r="G2519" s="341">
        <v>13.33</v>
      </c>
      <c r="H2519" s="342">
        <v>19397.23</v>
      </c>
      <c r="I2519" s="342">
        <f>13226.23</f>
        <v>13226.23</v>
      </c>
      <c r="J2519" s="342">
        <v>6049.26</v>
      </c>
      <c r="K2519" s="342">
        <v>121.74</v>
      </c>
      <c r="L2519" s="357">
        <f>IF(1701.14=0, "-", 19397.23/1701.14)</f>
        <v>11.402488919195362</v>
      </c>
      <c r="M2519" s="357">
        <v>13.05</v>
      </c>
      <c r="N2519" s="357">
        <f>IF(674.29=0, "-", 6049.26/674.29)</f>
        <v>8.9713031484969381</v>
      </c>
      <c r="O2519" s="357">
        <f>IF(13.33=0, "-", 121.74/13.33)</f>
        <v>9.1327831957989485</v>
      </c>
      <c r="P2519" s="343"/>
      <c r="Q2519" s="343"/>
      <c r="R2519" s="343">
        <f ca="1">IF(ISERROR(VALUE(TRIM(INDIRECT(ADDRESS(ROW()-1, COLUMN(A2289)))))), INDIRECT(ADDRESS(ROW()-2, COLUMN(R2289)))+1, INDIRECT(ADDRESS(ROW()-1, COLUMN(R2289))))</f>
        <v>19</v>
      </c>
    </row>
    <row r="2520" spans="1:18" ht="24">
      <c r="A2520" s="339">
        <v>66.212000000000003</v>
      </c>
      <c r="B2520" s="334" t="s">
        <v>4495</v>
      </c>
      <c r="C2520" s="340" t="s">
        <v>4496</v>
      </c>
      <c r="D2520" s="341">
        <v>1974.16</v>
      </c>
      <c r="E2520" s="341">
        <v>1230</v>
      </c>
      <c r="F2520" s="341">
        <v>728.81</v>
      </c>
      <c r="G2520" s="341">
        <v>15.35</v>
      </c>
      <c r="H2520" s="342">
        <v>22736.54</v>
      </c>
      <c r="I2520" s="342">
        <f>16051.25</f>
        <v>16051.25</v>
      </c>
      <c r="J2520" s="342">
        <v>6544.96</v>
      </c>
      <c r="K2520" s="342">
        <v>140.33000000000001</v>
      </c>
      <c r="L2520" s="357">
        <f>IF(1974.16=0, "-", 22736.54/1974.16)</f>
        <v>11.517070551525713</v>
      </c>
      <c r="M2520" s="357">
        <v>13.05</v>
      </c>
      <c r="N2520" s="357">
        <f>IF(728.81=0, "-", 6544.96/728.81)</f>
        <v>8.9803378109521006</v>
      </c>
      <c r="O2520" s="357">
        <f>IF(15.35=0, "-", 140.33/15.35)</f>
        <v>9.1420195439739427</v>
      </c>
      <c r="P2520" s="343"/>
      <c r="Q2520" s="343"/>
      <c r="R2520" s="343">
        <f ca="1">IF(ISERROR(VALUE(TRIM(INDIRECT(ADDRESS(ROW()-1, COLUMN(A2289)))))), INDIRECT(ADDRESS(ROW()-2, COLUMN(R2289)))+1, INDIRECT(ADDRESS(ROW()-1, COLUMN(R2289))))</f>
        <v>19</v>
      </c>
    </row>
    <row r="2521" spans="1:18" ht="12.75">
      <c r="A2521" s="426" t="s">
        <v>4497</v>
      </c>
      <c r="B2521" s="427"/>
      <c r="C2521" s="427"/>
      <c r="D2521" s="427"/>
      <c r="E2521" s="427"/>
      <c r="F2521" s="427"/>
      <c r="G2521" s="427"/>
      <c r="H2521" s="427"/>
      <c r="I2521" s="427"/>
      <c r="J2521" s="427"/>
      <c r="K2521" s="427"/>
      <c r="L2521" s="427"/>
      <c r="M2521" s="427"/>
      <c r="N2521" s="427"/>
      <c r="O2521" s="427"/>
      <c r="P2521" s="427"/>
      <c r="Q2521" s="427"/>
      <c r="R2521" s="427"/>
    </row>
    <row r="2522" spans="1:18" ht="24">
      <c r="A2522" s="339">
        <v>66.212999999999994</v>
      </c>
      <c r="B2522" s="334" t="s">
        <v>4498</v>
      </c>
      <c r="C2522" s="340" t="s">
        <v>4499</v>
      </c>
      <c r="D2522" s="341">
        <v>108.74</v>
      </c>
      <c r="E2522" s="341">
        <v>34.950000000000003</v>
      </c>
      <c r="F2522" s="341">
        <v>10.49</v>
      </c>
      <c r="G2522" s="341">
        <v>63.3</v>
      </c>
      <c r="H2522" s="342">
        <v>662.03</v>
      </c>
      <c r="I2522" s="342">
        <f>456.12</f>
        <v>456.12</v>
      </c>
      <c r="J2522" s="342">
        <v>53.07</v>
      </c>
      <c r="K2522" s="342">
        <v>152.84</v>
      </c>
      <c r="L2522" s="357">
        <f>IF(108.74=0, "-", 662.03/108.74)</f>
        <v>6.0881920176567963</v>
      </c>
      <c r="M2522" s="357">
        <v>13.05</v>
      </c>
      <c r="N2522" s="357">
        <f t="shared" ref="N2522:N2534" si="6">IF(10.49=0, "-", 53.07/10.49)</f>
        <v>5.0591039084842704</v>
      </c>
      <c r="O2522" s="357">
        <f>IF(63.3=0, "-", 152.84/63.3)</f>
        <v>2.4145339652448659</v>
      </c>
      <c r="P2522" s="343"/>
      <c r="Q2522" s="343"/>
      <c r="R2522" s="343">
        <f ca="1">IF(ISERROR(VALUE(TRIM(INDIRECT(ADDRESS(ROW()-1, COLUMN(A2289)))))), INDIRECT(ADDRESS(ROW()-2, COLUMN(R2289)))+1, INDIRECT(ADDRESS(ROW()-1, COLUMN(R2289))))</f>
        <v>20</v>
      </c>
    </row>
    <row r="2523" spans="1:18" ht="24">
      <c r="A2523" s="339">
        <v>66.213999999999999</v>
      </c>
      <c r="B2523" s="334" t="s">
        <v>4500</v>
      </c>
      <c r="C2523" s="340" t="s">
        <v>4501</v>
      </c>
      <c r="D2523" s="341">
        <v>138.61000000000001</v>
      </c>
      <c r="E2523" s="341">
        <v>38.72</v>
      </c>
      <c r="F2523" s="341">
        <v>10.49</v>
      </c>
      <c r="G2523" s="341">
        <v>89.4</v>
      </c>
      <c r="H2523" s="342">
        <v>777.22</v>
      </c>
      <c r="I2523" s="342">
        <f>505.32</f>
        <v>505.32</v>
      </c>
      <c r="J2523" s="342">
        <v>53.07</v>
      </c>
      <c r="K2523" s="342">
        <v>218.83</v>
      </c>
      <c r="L2523" s="357">
        <f>IF(138.61=0, "-", 777.22/138.61)</f>
        <v>5.6072433446360286</v>
      </c>
      <c r="M2523" s="357">
        <v>13.05</v>
      </c>
      <c r="N2523" s="357">
        <f t="shared" si="6"/>
        <v>5.0591039084842704</v>
      </c>
      <c r="O2523" s="357">
        <f>IF(89.4=0, "-", 218.83/89.4)</f>
        <v>2.4477628635346758</v>
      </c>
      <c r="P2523" s="343"/>
      <c r="Q2523" s="343"/>
      <c r="R2523" s="343">
        <f ca="1">IF(ISERROR(VALUE(TRIM(INDIRECT(ADDRESS(ROW()-1, COLUMN(A2289)))))), INDIRECT(ADDRESS(ROW()-2, COLUMN(R2289)))+1, INDIRECT(ADDRESS(ROW()-1, COLUMN(R2289))))</f>
        <v>20</v>
      </c>
    </row>
    <row r="2524" spans="1:18" ht="24">
      <c r="A2524" s="339">
        <v>66.215000000000003</v>
      </c>
      <c r="B2524" s="334" t="s">
        <v>4502</v>
      </c>
      <c r="C2524" s="340" t="s">
        <v>4503</v>
      </c>
      <c r="D2524" s="341">
        <v>172.26</v>
      </c>
      <c r="E2524" s="341">
        <v>45.55</v>
      </c>
      <c r="F2524" s="341">
        <v>10.49</v>
      </c>
      <c r="G2524" s="341">
        <v>116.22</v>
      </c>
      <c r="H2524" s="342">
        <v>1009.43</v>
      </c>
      <c r="I2524" s="342">
        <f>594.42</f>
        <v>594.41999999999996</v>
      </c>
      <c r="J2524" s="342">
        <v>53.07</v>
      </c>
      <c r="K2524" s="342">
        <v>361.94</v>
      </c>
      <c r="L2524" s="357">
        <f>IF(172.26=0, "-", 1009.43/172.26)</f>
        <v>5.8599210495762222</v>
      </c>
      <c r="M2524" s="357">
        <v>13.05</v>
      </c>
      <c r="N2524" s="357">
        <f t="shared" si="6"/>
        <v>5.0591039084842704</v>
      </c>
      <c r="O2524" s="357">
        <f>IF(116.22=0, "-", 361.94/116.22)</f>
        <v>3.1142660471519532</v>
      </c>
      <c r="P2524" s="343"/>
      <c r="Q2524" s="343"/>
      <c r="R2524" s="343">
        <f ca="1">IF(ISERROR(VALUE(TRIM(INDIRECT(ADDRESS(ROW()-1, COLUMN(A2289)))))), INDIRECT(ADDRESS(ROW()-2, COLUMN(R2289)))+1, INDIRECT(ADDRESS(ROW()-1, COLUMN(R2289))))</f>
        <v>20</v>
      </c>
    </row>
    <row r="2525" spans="1:18" ht="24">
      <c r="A2525" s="339">
        <v>66.215999999999994</v>
      </c>
      <c r="B2525" s="334" t="s">
        <v>4504</v>
      </c>
      <c r="C2525" s="340" t="s">
        <v>4505</v>
      </c>
      <c r="D2525" s="341">
        <v>221.4</v>
      </c>
      <c r="E2525" s="341">
        <v>59.82</v>
      </c>
      <c r="F2525" s="341">
        <v>10.49</v>
      </c>
      <c r="G2525" s="341">
        <v>151.09</v>
      </c>
      <c r="H2525" s="342">
        <v>1443.25</v>
      </c>
      <c r="I2525" s="342">
        <f>780.59</f>
        <v>780.59</v>
      </c>
      <c r="J2525" s="342">
        <v>53.07</v>
      </c>
      <c r="K2525" s="342">
        <v>609.59</v>
      </c>
      <c r="L2525" s="357">
        <f>IF(221.4=0, "-", 1443.25/221.4)</f>
        <v>6.5187443541102077</v>
      </c>
      <c r="M2525" s="357">
        <v>13.05</v>
      </c>
      <c r="N2525" s="357">
        <f t="shared" si="6"/>
        <v>5.0591039084842704</v>
      </c>
      <c r="O2525" s="357">
        <f>IF(151.09=0, "-", 609.59/151.09)</f>
        <v>4.0346151300549344</v>
      </c>
      <c r="P2525" s="343"/>
      <c r="Q2525" s="343"/>
      <c r="R2525" s="343">
        <f ca="1">IF(ISERROR(VALUE(TRIM(INDIRECT(ADDRESS(ROW()-1, COLUMN(A2289)))))), INDIRECT(ADDRESS(ROW()-2, COLUMN(R2289)))+1, INDIRECT(ADDRESS(ROW()-1, COLUMN(R2289))))</f>
        <v>20</v>
      </c>
    </row>
    <row r="2526" spans="1:18" ht="24">
      <c r="A2526" s="339">
        <v>66.216999999999999</v>
      </c>
      <c r="B2526" s="334" t="s">
        <v>4506</v>
      </c>
      <c r="C2526" s="340" t="s">
        <v>4507</v>
      </c>
      <c r="D2526" s="341">
        <v>241.45</v>
      </c>
      <c r="E2526" s="341">
        <v>59.82</v>
      </c>
      <c r="F2526" s="341">
        <v>10.49</v>
      </c>
      <c r="G2526" s="341">
        <v>171.14</v>
      </c>
      <c r="H2526" s="342">
        <v>1615.33</v>
      </c>
      <c r="I2526" s="342">
        <f>780.59</f>
        <v>780.59</v>
      </c>
      <c r="J2526" s="342">
        <v>53.07</v>
      </c>
      <c r="K2526" s="342">
        <v>781.67</v>
      </c>
      <c r="L2526" s="357">
        <f>IF(241.45=0, "-", 1615.33/241.45)</f>
        <v>6.6901221785048666</v>
      </c>
      <c r="M2526" s="357">
        <v>13.05</v>
      </c>
      <c r="N2526" s="357">
        <f t="shared" si="6"/>
        <v>5.0591039084842704</v>
      </c>
      <c r="O2526" s="357">
        <f>IF(171.14=0, "-", 781.67/171.14)</f>
        <v>4.5674301741264465</v>
      </c>
      <c r="P2526" s="343"/>
      <c r="Q2526" s="343"/>
      <c r="R2526" s="343">
        <f ca="1">IF(ISERROR(VALUE(TRIM(INDIRECT(ADDRESS(ROW()-1, COLUMN(A2289)))))), INDIRECT(ADDRESS(ROW()-2, COLUMN(R2289)))+1, INDIRECT(ADDRESS(ROW()-1, COLUMN(R2289))))</f>
        <v>20</v>
      </c>
    </row>
    <row r="2527" spans="1:18" ht="24">
      <c r="A2527" s="339">
        <v>66.218000000000004</v>
      </c>
      <c r="B2527" s="334" t="s">
        <v>4508</v>
      </c>
      <c r="C2527" s="340" t="s">
        <v>4509</v>
      </c>
      <c r="D2527" s="341">
        <v>354.18</v>
      </c>
      <c r="E2527" s="341">
        <v>88.35</v>
      </c>
      <c r="F2527" s="341">
        <v>10.49</v>
      </c>
      <c r="G2527" s="341">
        <v>255.34</v>
      </c>
      <c r="H2527" s="342">
        <v>1970.54</v>
      </c>
      <c r="I2527" s="342">
        <f>1152.94</f>
        <v>1152.94</v>
      </c>
      <c r="J2527" s="342">
        <v>53.07</v>
      </c>
      <c r="K2527" s="342">
        <v>764.53</v>
      </c>
      <c r="L2527" s="357">
        <f>IF(354.18=0, "-", 1970.54/354.18)</f>
        <v>5.5636681913151502</v>
      </c>
      <c r="M2527" s="357">
        <v>13.05</v>
      </c>
      <c r="N2527" s="357">
        <f t="shared" si="6"/>
        <v>5.0591039084842704</v>
      </c>
      <c r="O2527" s="357">
        <f>IF(255.34=0, "-", 764.53/255.34)</f>
        <v>2.9941646432208033</v>
      </c>
      <c r="P2527" s="343"/>
      <c r="Q2527" s="343"/>
      <c r="R2527" s="343">
        <f ca="1">IF(ISERROR(VALUE(TRIM(INDIRECT(ADDRESS(ROW()-1, COLUMN(A2289)))))), INDIRECT(ADDRESS(ROW()-2, COLUMN(R2289)))+1, INDIRECT(ADDRESS(ROW()-1, COLUMN(R2289))))</f>
        <v>20</v>
      </c>
    </row>
    <row r="2528" spans="1:18" ht="24">
      <c r="A2528" s="339">
        <v>66.218999999999994</v>
      </c>
      <c r="B2528" s="334" t="s">
        <v>4510</v>
      </c>
      <c r="C2528" s="340" t="s">
        <v>4511</v>
      </c>
      <c r="D2528" s="341">
        <v>448.41</v>
      </c>
      <c r="E2528" s="341">
        <v>105.98</v>
      </c>
      <c r="F2528" s="341">
        <v>10.49</v>
      </c>
      <c r="G2528" s="341">
        <v>331.94</v>
      </c>
      <c r="H2528" s="342">
        <v>2808.22</v>
      </c>
      <c r="I2528" s="342">
        <f>1382.99</f>
        <v>1382.99</v>
      </c>
      <c r="J2528" s="342">
        <v>53.07</v>
      </c>
      <c r="K2528" s="342">
        <v>1372.16</v>
      </c>
      <c r="L2528" s="357">
        <f>IF(448.41=0, "-", 2808.22/448.41)</f>
        <v>6.2626168015878321</v>
      </c>
      <c r="M2528" s="357">
        <v>13.05</v>
      </c>
      <c r="N2528" s="357">
        <f t="shared" si="6"/>
        <v>5.0591039084842704</v>
      </c>
      <c r="O2528" s="357">
        <f>IF(331.94=0, "-", 1372.16/331.94)</f>
        <v>4.1337591130927276</v>
      </c>
      <c r="P2528" s="343"/>
      <c r="Q2528" s="343"/>
      <c r="R2528" s="343">
        <f ca="1">IF(ISERROR(VALUE(TRIM(INDIRECT(ADDRESS(ROW()-1, COLUMN(A2289)))))), INDIRECT(ADDRESS(ROW()-2, COLUMN(R2289)))+1, INDIRECT(ADDRESS(ROW()-1, COLUMN(R2289))))</f>
        <v>20</v>
      </c>
    </row>
    <row r="2529" spans="1:18" ht="24">
      <c r="A2529" s="339">
        <v>66.22</v>
      </c>
      <c r="B2529" s="334" t="s">
        <v>4512</v>
      </c>
      <c r="C2529" s="340" t="s">
        <v>4513</v>
      </c>
      <c r="D2529" s="341">
        <v>570.4</v>
      </c>
      <c r="E2529" s="341">
        <v>128.38999999999999</v>
      </c>
      <c r="F2529" s="341">
        <v>10.49</v>
      </c>
      <c r="G2529" s="341">
        <v>431.52</v>
      </c>
      <c r="H2529" s="342">
        <v>3052.95</v>
      </c>
      <c r="I2529" s="342">
        <f>1675.55</f>
        <v>1675.55</v>
      </c>
      <c r="J2529" s="342">
        <v>53.07</v>
      </c>
      <c r="K2529" s="342">
        <v>1324.33</v>
      </c>
      <c r="L2529" s="357">
        <f>IF(570.4=0, "-", 3052.95/570.4)</f>
        <v>5.3522966339410942</v>
      </c>
      <c r="M2529" s="357">
        <v>13.05</v>
      </c>
      <c r="N2529" s="357">
        <f t="shared" si="6"/>
        <v>5.0591039084842704</v>
      </c>
      <c r="O2529" s="357">
        <f>IF(431.52=0, "-", 1324.33/431.52)</f>
        <v>3.0689886911383017</v>
      </c>
      <c r="P2529" s="343"/>
      <c r="Q2529" s="343"/>
      <c r="R2529" s="343">
        <f ca="1">IF(ISERROR(VALUE(TRIM(INDIRECT(ADDRESS(ROW()-1, COLUMN(A2289)))))), INDIRECT(ADDRESS(ROW()-2, COLUMN(R2289)))+1, INDIRECT(ADDRESS(ROW()-1, COLUMN(R2289))))</f>
        <v>20</v>
      </c>
    </row>
    <row r="2530" spans="1:18" ht="24">
      <c r="A2530" s="339">
        <v>66.221000000000004</v>
      </c>
      <c r="B2530" s="334" t="s">
        <v>4514</v>
      </c>
      <c r="C2530" s="340" t="s">
        <v>4515</v>
      </c>
      <c r="D2530" s="341">
        <v>720.54</v>
      </c>
      <c r="E2530" s="341">
        <v>149.08000000000001</v>
      </c>
      <c r="F2530" s="341">
        <v>10.49</v>
      </c>
      <c r="G2530" s="341">
        <v>560.97</v>
      </c>
      <c r="H2530" s="342">
        <v>3671.56</v>
      </c>
      <c r="I2530" s="342">
        <f>1945.5</f>
        <v>1945.5</v>
      </c>
      <c r="J2530" s="342">
        <v>53.07</v>
      </c>
      <c r="K2530" s="342">
        <v>1672.99</v>
      </c>
      <c r="L2530" s="357">
        <f>IF(720.54=0, "-", 3671.56/720.54)</f>
        <v>5.0955672134787804</v>
      </c>
      <c r="M2530" s="357">
        <v>13.05</v>
      </c>
      <c r="N2530" s="357">
        <f t="shared" si="6"/>
        <v>5.0591039084842704</v>
      </c>
      <c r="O2530" s="357">
        <f>IF(560.97=0, "-", 1672.99/560.97)</f>
        <v>2.9823163449025794</v>
      </c>
      <c r="P2530" s="343"/>
      <c r="Q2530" s="343"/>
      <c r="R2530" s="343">
        <f ca="1">IF(ISERROR(VALUE(TRIM(INDIRECT(ADDRESS(ROW()-1, COLUMN(A2289)))))), INDIRECT(ADDRESS(ROW()-2, COLUMN(R2289)))+1, INDIRECT(ADDRESS(ROW()-1, COLUMN(R2289))))</f>
        <v>20</v>
      </c>
    </row>
    <row r="2531" spans="1:18" ht="24">
      <c r="A2531" s="339">
        <v>66.221999999999994</v>
      </c>
      <c r="B2531" s="334" t="s">
        <v>4516</v>
      </c>
      <c r="C2531" s="340" t="s">
        <v>4517</v>
      </c>
      <c r="D2531" s="341">
        <v>909.93</v>
      </c>
      <c r="E2531" s="341">
        <v>170.17</v>
      </c>
      <c r="F2531" s="341">
        <v>10.49</v>
      </c>
      <c r="G2531" s="341">
        <v>729.27</v>
      </c>
      <c r="H2531" s="342">
        <v>4448.7</v>
      </c>
      <c r="I2531" s="342">
        <f>2220.77</f>
        <v>2220.77</v>
      </c>
      <c r="J2531" s="342">
        <v>53.07</v>
      </c>
      <c r="K2531" s="342">
        <v>2174.86</v>
      </c>
      <c r="L2531" s="357">
        <f>IF(909.93=0, "-", 4448.7/909.93)</f>
        <v>4.889057400019782</v>
      </c>
      <c r="M2531" s="357">
        <v>13.05</v>
      </c>
      <c r="N2531" s="357">
        <f t="shared" si="6"/>
        <v>5.0591039084842704</v>
      </c>
      <c r="O2531" s="357">
        <f>IF(729.27=0, "-", 2174.86/729.27)</f>
        <v>2.9822425164890922</v>
      </c>
      <c r="P2531" s="343"/>
      <c r="Q2531" s="343"/>
      <c r="R2531" s="343">
        <f ca="1">IF(ISERROR(VALUE(TRIM(INDIRECT(ADDRESS(ROW()-1, COLUMN(A2289)))))), INDIRECT(ADDRESS(ROW()-2, COLUMN(R2289)))+1, INDIRECT(ADDRESS(ROW()-1, COLUMN(R2289))))</f>
        <v>20</v>
      </c>
    </row>
    <row r="2532" spans="1:18" ht="24">
      <c r="A2532" s="339">
        <v>66.222999999999999</v>
      </c>
      <c r="B2532" s="334" t="s">
        <v>4518</v>
      </c>
      <c r="C2532" s="340" t="s">
        <v>4519</v>
      </c>
      <c r="D2532" s="341">
        <v>1151.1199999999999</v>
      </c>
      <c r="E2532" s="341">
        <v>192.59</v>
      </c>
      <c r="F2532" s="341">
        <v>10.49</v>
      </c>
      <c r="G2532" s="341">
        <v>948.04</v>
      </c>
      <c r="H2532" s="342">
        <v>5394.09</v>
      </c>
      <c r="I2532" s="342">
        <f>2513.32</f>
        <v>2513.3200000000002</v>
      </c>
      <c r="J2532" s="342">
        <v>53.07</v>
      </c>
      <c r="K2532" s="342">
        <v>2827.7</v>
      </c>
      <c r="L2532" s="357">
        <f>IF(1151.12=0, "-", 5394.09/1151.12)</f>
        <v>4.6859493362985623</v>
      </c>
      <c r="M2532" s="357">
        <v>13.05</v>
      </c>
      <c r="N2532" s="357">
        <f t="shared" si="6"/>
        <v>5.0591039084842704</v>
      </c>
      <c r="O2532" s="357">
        <f>IF(948.04=0, "-", 2827.7/948.04)</f>
        <v>2.9826800556938524</v>
      </c>
      <c r="P2532" s="343"/>
      <c r="Q2532" s="343"/>
      <c r="R2532" s="343">
        <f ca="1">IF(ISERROR(VALUE(TRIM(INDIRECT(ADDRESS(ROW()-1, COLUMN(A2289)))))), INDIRECT(ADDRESS(ROW()-2, COLUMN(R2289)))+1, INDIRECT(ADDRESS(ROW()-1, COLUMN(R2289))))</f>
        <v>20</v>
      </c>
    </row>
    <row r="2533" spans="1:18" ht="24">
      <c r="A2533" s="339">
        <v>66.224000000000004</v>
      </c>
      <c r="B2533" s="334" t="s">
        <v>4520</v>
      </c>
      <c r="C2533" s="340" t="s">
        <v>4521</v>
      </c>
      <c r="D2533" s="341">
        <v>1462.33</v>
      </c>
      <c r="E2533" s="341">
        <v>219.39</v>
      </c>
      <c r="F2533" s="341">
        <v>10.49</v>
      </c>
      <c r="G2533" s="341">
        <v>1232.45</v>
      </c>
      <c r="H2533" s="342">
        <v>6877.16</v>
      </c>
      <c r="I2533" s="342">
        <f>2863.06</f>
        <v>2863.06</v>
      </c>
      <c r="J2533" s="342">
        <v>53.07</v>
      </c>
      <c r="K2533" s="342">
        <v>3961.03</v>
      </c>
      <c r="L2533" s="357">
        <f>IF(1462.33=0, "-", 6877.16/1462.33)</f>
        <v>4.7028782832876299</v>
      </c>
      <c r="M2533" s="357">
        <v>13.05</v>
      </c>
      <c r="N2533" s="357">
        <f t="shared" si="6"/>
        <v>5.0591039084842704</v>
      </c>
      <c r="O2533" s="357">
        <f>IF(1232.45=0, "-", 3961.03/1232.45)</f>
        <v>3.2139478274980728</v>
      </c>
      <c r="P2533" s="343"/>
      <c r="Q2533" s="343"/>
      <c r="R2533" s="343">
        <f ca="1">IF(ISERROR(VALUE(TRIM(INDIRECT(ADDRESS(ROW()-1, COLUMN(A2289)))))), INDIRECT(ADDRESS(ROW()-2, COLUMN(R2289)))+1, INDIRECT(ADDRESS(ROW()-1, COLUMN(R2289))))</f>
        <v>20</v>
      </c>
    </row>
    <row r="2534" spans="1:18" ht="24">
      <c r="A2534" s="339">
        <v>66.224999999999994</v>
      </c>
      <c r="B2534" s="334" t="s">
        <v>4522</v>
      </c>
      <c r="C2534" s="340" t="s">
        <v>4523</v>
      </c>
      <c r="D2534" s="341">
        <v>1855.2</v>
      </c>
      <c r="E2534" s="341">
        <v>242.52</v>
      </c>
      <c r="F2534" s="341">
        <v>10.49</v>
      </c>
      <c r="G2534" s="341">
        <v>1602.19</v>
      </c>
      <c r="H2534" s="342">
        <v>7998.49</v>
      </c>
      <c r="I2534" s="342">
        <f>3164.92</f>
        <v>3164.92</v>
      </c>
      <c r="J2534" s="342">
        <v>53.07</v>
      </c>
      <c r="K2534" s="342">
        <v>4780.5</v>
      </c>
      <c r="L2534" s="357">
        <f>IF(1855.2=0, "-", 7998.49/1855.2)</f>
        <v>4.3113896075894784</v>
      </c>
      <c r="M2534" s="357">
        <v>13.05</v>
      </c>
      <c r="N2534" s="357">
        <f t="shared" si="6"/>
        <v>5.0591039084842704</v>
      </c>
      <c r="O2534" s="357">
        <f>IF(1602.19=0, "-", 4780.5/1602.19)</f>
        <v>2.9837285215860789</v>
      </c>
      <c r="P2534" s="343"/>
      <c r="Q2534" s="343"/>
      <c r="R2534" s="343">
        <f ca="1">IF(ISERROR(VALUE(TRIM(INDIRECT(ADDRESS(ROW()-1, COLUMN(A2289)))))), INDIRECT(ADDRESS(ROW()-2, COLUMN(R2289)))+1, INDIRECT(ADDRESS(ROW()-1, COLUMN(R2289))))</f>
        <v>20</v>
      </c>
    </row>
    <row r="2535" spans="1:18" ht="12.75">
      <c r="A2535" s="426" t="s">
        <v>4524</v>
      </c>
      <c r="B2535" s="427"/>
      <c r="C2535" s="427"/>
      <c r="D2535" s="427"/>
      <c r="E2535" s="427"/>
      <c r="F2535" s="427"/>
      <c r="G2535" s="427"/>
      <c r="H2535" s="427"/>
      <c r="I2535" s="427"/>
      <c r="J2535" s="427"/>
      <c r="K2535" s="427"/>
      <c r="L2535" s="427"/>
      <c r="M2535" s="427"/>
      <c r="N2535" s="427"/>
      <c r="O2535" s="427"/>
      <c r="P2535" s="427"/>
      <c r="Q2535" s="427"/>
      <c r="R2535" s="427"/>
    </row>
    <row r="2536" spans="1:18" ht="24">
      <c r="A2536" s="339">
        <v>66.225999999999999</v>
      </c>
      <c r="B2536" s="334" t="s">
        <v>4525</v>
      </c>
      <c r="C2536" s="340" t="s">
        <v>4526</v>
      </c>
      <c r="D2536" s="341">
        <v>56.36</v>
      </c>
      <c r="E2536" s="341">
        <v>18.97</v>
      </c>
      <c r="F2536" s="341"/>
      <c r="G2536" s="341">
        <v>37.39</v>
      </c>
      <c r="H2536" s="342">
        <v>592.4</v>
      </c>
      <c r="I2536" s="342">
        <f>247.56</f>
        <v>247.56</v>
      </c>
      <c r="J2536" s="342"/>
      <c r="K2536" s="342">
        <v>344.84</v>
      </c>
      <c r="L2536" s="357">
        <f>IF(56.36=0, "-", 592.4/56.36)</f>
        <v>10.511000709723207</v>
      </c>
      <c r="M2536" s="357">
        <v>13.05</v>
      </c>
      <c r="N2536" s="357" t="str">
        <f t="shared" ref="N2536:N2542" si="7">IF(0=0, "-", 0/0)</f>
        <v>-</v>
      </c>
      <c r="O2536" s="357">
        <f>IF(37.39=0, "-", 344.84/37.39)</f>
        <v>9.2227868414014438</v>
      </c>
      <c r="P2536" s="343"/>
      <c r="Q2536" s="343"/>
      <c r="R2536" s="343">
        <f ca="1">IF(ISERROR(VALUE(TRIM(INDIRECT(ADDRESS(ROW()-1, COLUMN(A2289)))))), INDIRECT(ADDRESS(ROW()-2, COLUMN(R2289)))+1, INDIRECT(ADDRESS(ROW()-1, COLUMN(R2289))))</f>
        <v>21</v>
      </c>
    </row>
    <row r="2537" spans="1:18" ht="24">
      <c r="A2537" s="339">
        <v>66.227000000000004</v>
      </c>
      <c r="B2537" s="334" t="s">
        <v>4527</v>
      </c>
      <c r="C2537" s="340" t="s">
        <v>4528</v>
      </c>
      <c r="D2537" s="341">
        <v>164.33</v>
      </c>
      <c r="E2537" s="341">
        <v>39.130000000000003</v>
      </c>
      <c r="F2537" s="341"/>
      <c r="G2537" s="341">
        <v>125.2</v>
      </c>
      <c r="H2537" s="342">
        <v>1597.44</v>
      </c>
      <c r="I2537" s="342">
        <f>510.67</f>
        <v>510.67</v>
      </c>
      <c r="J2537" s="342"/>
      <c r="K2537" s="342">
        <v>1086.77</v>
      </c>
      <c r="L2537" s="357">
        <f>IF(164.33=0, "-", 1597.44/164.33)</f>
        <v>9.7209274021785426</v>
      </c>
      <c r="M2537" s="357">
        <v>13.05</v>
      </c>
      <c r="N2537" s="357" t="str">
        <f t="shared" si="7"/>
        <v>-</v>
      </c>
      <c r="O2537" s="357">
        <f>IF(125.2=0, "-", 1086.77/125.2)</f>
        <v>8.6802715654952074</v>
      </c>
      <c r="P2537" s="343"/>
      <c r="Q2537" s="343"/>
      <c r="R2537" s="343">
        <f ca="1">IF(ISERROR(VALUE(TRIM(INDIRECT(ADDRESS(ROW()-1, COLUMN(A2289)))))), INDIRECT(ADDRESS(ROW()-2, COLUMN(R2289)))+1, INDIRECT(ADDRESS(ROW()-1, COLUMN(R2289))))</f>
        <v>21</v>
      </c>
    </row>
    <row r="2538" spans="1:18" ht="24">
      <c r="A2538" s="339">
        <v>66.227999999999994</v>
      </c>
      <c r="B2538" s="334" t="s">
        <v>4529</v>
      </c>
      <c r="C2538" s="340" t="s">
        <v>4530</v>
      </c>
      <c r="D2538" s="341">
        <v>188.12</v>
      </c>
      <c r="E2538" s="341">
        <v>58.1</v>
      </c>
      <c r="F2538" s="341"/>
      <c r="G2538" s="341">
        <v>130.02000000000001</v>
      </c>
      <c r="H2538" s="342">
        <v>1864.31</v>
      </c>
      <c r="I2538" s="342">
        <f>758.23</f>
        <v>758.23</v>
      </c>
      <c r="J2538" s="342"/>
      <c r="K2538" s="342">
        <v>1106.08</v>
      </c>
      <c r="L2538" s="357">
        <f>IF(188.12=0, "-", 1864.31/188.12)</f>
        <v>9.9102168828407393</v>
      </c>
      <c r="M2538" s="357">
        <v>13.05</v>
      </c>
      <c r="N2538" s="357" t="str">
        <f t="shared" si="7"/>
        <v>-</v>
      </c>
      <c r="O2538" s="357">
        <f>IF(130.02=0, "-", 1106.08/130.02)</f>
        <v>8.5069989232425769</v>
      </c>
      <c r="P2538" s="343"/>
      <c r="Q2538" s="343"/>
      <c r="R2538" s="343">
        <f ca="1">IF(ISERROR(VALUE(TRIM(INDIRECT(ADDRESS(ROW()-1, COLUMN(A2289)))))), INDIRECT(ADDRESS(ROW()-2, COLUMN(R2289)))+1, INDIRECT(ADDRESS(ROW()-1, COLUMN(R2289))))</f>
        <v>21</v>
      </c>
    </row>
    <row r="2539" spans="1:18" ht="24">
      <c r="A2539" s="339">
        <v>66.228999999999999</v>
      </c>
      <c r="B2539" s="334" t="s">
        <v>4531</v>
      </c>
      <c r="C2539" s="340" t="s">
        <v>4532</v>
      </c>
      <c r="D2539" s="341">
        <v>330.57</v>
      </c>
      <c r="E2539" s="341">
        <v>78.16</v>
      </c>
      <c r="F2539" s="341"/>
      <c r="G2539" s="341">
        <v>252.41</v>
      </c>
      <c r="H2539" s="342">
        <v>3006.55</v>
      </c>
      <c r="I2539" s="342">
        <f>1019.93</f>
        <v>1019.93</v>
      </c>
      <c r="J2539" s="342"/>
      <c r="K2539" s="342">
        <v>1986.62</v>
      </c>
      <c r="L2539" s="357">
        <f>IF(330.57=0, "-", 3006.55/330.57)</f>
        <v>9.0950479474846482</v>
      </c>
      <c r="M2539" s="357">
        <v>13.05</v>
      </c>
      <c r="N2539" s="357" t="str">
        <f t="shared" si="7"/>
        <v>-</v>
      </c>
      <c r="O2539" s="357">
        <f>IF(252.41=0, "-", 1986.62/252.41)</f>
        <v>7.8706073451923455</v>
      </c>
      <c r="P2539" s="343"/>
      <c r="Q2539" s="343"/>
      <c r="R2539" s="343">
        <f ca="1">IF(ISERROR(VALUE(TRIM(INDIRECT(ADDRESS(ROW()-1, COLUMN(A2289)))))), INDIRECT(ADDRESS(ROW()-2, COLUMN(R2289)))+1, INDIRECT(ADDRESS(ROW()-1, COLUMN(R2289))))</f>
        <v>21</v>
      </c>
    </row>
    <row r="2540" spans="1:18" ht="24">
      <c r="A2540" s="339">
        <v>66.23</v>
      </c>
      <c r="B2540" s="334" t="s">
        <v>4533</v>
      </c>
      <c r="C2540" s="340" t="s">
        <v>4534</v>
      </c>
      <c r="D2540" s="341">
        <v>436.64</v>
      </c>
      <c r="E2540" s="341">
        <v>93.87</v>
      </c>
      <c r="F2540" s="341"/>
      <c r="G2540" s="341">
        <v>342.77</v>
      </c>
      <c r="H2540" s="342">
        <v>3963.82</v>
      </c>
      <c r="I2540" s="342">
        <f>1225.04</f>
        <v>1225.04</v>
      </c>
      <c r="J2540" s="342"/>
      <c r="K2540" s="342">
        <v>2738.78</v>
      </c>
      <c r="L2540" s="357">
        <f>IF(436.64=0, "-", 3963.82/436.64)</f>
        <v>9.0780047636496892</v>
      </c>
      <c r="M2540" s="357">
        <v>13.05</v>
      </c>
      <c r="N2540" s="357" t="str">
        <f t="shared" si="7"/>
        <v>-</v>
      </c>
      <c r="O2540" s="357">
        <f>IF(342.77=0, "-", 2738.78/342.77)</f>
        <v>7.9901391603699281</v>
      </c>
      <c r="P2540" s="343"/>
      <c r="Q2540" s="343"/>
      <c r="R2540" s="343">
        <f ca="1">IF(ISERROR(VALUE(TRIM(INDIRECT(ADDRESS(ROW()-1, COLUMN(A2289)))))), INDIRECT(ADDRESS(ROW()-2, COLUMN(R2289)))+1, INDIRECT(ADDRESS(ROW()-1, COLUMN(R2289))))</f>
        <v>21</v>
      </c>
    </row>
    <row r="2541" spans="1:18" ht="24">
      <c r="A2541" s="339">
        <v>66.230999999999995</v>
      </c>
      <c r="B2541" s="334" t="s">
        <v>4535</v>
      </c>
      <c r="C2541" s="340" t="s">
        <v>4536</v>
      </c>
      <c r="D2541" s="341">
        <v>544.84</v>
      </c>
      <c r="E2541" s="341">
        <v>110.57</v>
      </c>
      <c r="F2541" s="341"/>
      <c r="G2541" s="341">
        <v>434.27</v>
      </c>
      <c r="H2541" s="342">
        <v>4938.37</v>
      </c>
      <c r="I2541" s="342">
        <f>1442.89</f>
        <v>1442.89</v>
      </c>
      <c r="J2541" s="342"/>
      <c r="K2541" s="342">
        <v>3495.48</v>
      </c>
      <c r="L2541" s="357">
        <f>IF(544.84=0, "-", 4938.37/544.84)</f>
        <v>9.0638903164231692</v>
      </c>
      <c r="M2541" s="357">
        <v>13.05</v>
      </c>
      <c r="N2541" s="357" t="str">
        <f t="shared" si="7"/>
        <v>-</v>
      </c>
      <c r="O2541" s="357">
        <f>IF(434.27=0, "-", 3495.48/434.27)</f>
        <v>8.0490938816865096</v>
      </c>
      <c r="P2541" s="343"/>
      <c r="Q2541" s="343"/>
      <c r="R2541" s="343">
        <f ca="1">IF(ISERROR(VALUE(TRIM(INDIRECT(ADDRESS(ROW()-1, COLUMN(A2289)))))), INDIRECT(ADDRESS(ROW()-2, COLUMN(R2289)))+1, INDIRECT(ADDRESS(ROW()-1, COLUMN(R2289))))</f>
        <v>21</v>
      </c>
    </row>
    <row r="2542" spans="1:18" ht="24">
      <c r="A2542" s="339">
        <v>66.231999999999999</v>
      </c>
      <c r="B2542" s="334" t="s">
        <v>4537</v>
      </c>
      <c r="C2542" s="340" t="s">
        <v>4538</v>
      </c>
      <c r="D2542" s="341">
        <v>716.81</v>
      </c>
      <c r="E2542" s="341">
        <v>129</v>
      </c>
      <c r="F2542" s="341"/>
      <c r="G2542" s="341">
        <v>587.80999999999995</v>
      </c>
      <c r="H2542" s="342">
        <v>6379.24</v>
      </c>
      <c r="I2542" s="342">
        <f>1683.37</f>
        <v>1683.37</v>
      </c>
      <c r="J2542" s="342"/>
      <c r="K2542" s="342">
        <v>4695.87</v>
      </c>
      <c r="L2542" s="357">
        <f>IF(716.81=0, "-", 6379.24/716.81)</f>
        <v>8.8994852192352223</v>
      </c>
      <c r="M2542" s="357">
        <v>13.05</v>
      </c>
      <c r="N2542" s="357" t="str">
        <f t="shared" si="7"/>
        <v>-</v>
      </c>
      <c r="O2542" s="357">
        <f>IF(587.81=0, "-", 4695.87/587.81)</f>
        <v>7.9887548697708448</v>
      </c>
      <c r="P2542" s="343"/>
      <c r="Q2542" s="343"/>
      <c r="R2542" s="343">
        <f ca="1">IF(ISERROR(VALUE(TRIM(INDIRECT(ADDRESS(ROW()-1, COLUMN(A2289)))))), INDIRECT(ADDRESS(ROW()-2, COLUMN(R2289)))+1, INDIRECT(ADDRESS(ROW()-1, COLUMN(R2289))))</f>
        <v>21</v>
      </c>
    </row>
    <row r="2543" spans="1:18" ht="12.75">
      <c r="A2543" s="426" t="s">
        <v>4539</v>
      </c>
      <c r="B2543" s="427"/>
      <c r="C2543" s="427"/>
      <c r="D2543" s="427"/>
      <c r="E2543" s="427"/>
      <c r="F2543" s="427"/>
      <c r="G2543" s="427"/>
      <c r="H2543" s="427"/>
      <c r="I2543" s="427"/>
      <c r="J2543" s="427"/>
      <c r="K2543" s="427"/>
      <c r="L2543" s="427"/>
      <c r="M2543" s="427"/>
      <c r="N2543" s="427"/>
      <c r="O2543" s="427"/>
      <c r="P2543" s="427"/>
      <c r="Q2543" s="427"/>
      <c r="R2543" s="427"/>
    </row>
    <row r="2544" spans="1:18" ht="24">
      <c r="A2544" s="339">
        <v>66.233000000000004</v>
      </c>
      <c r="B2544" s="334" t="s">
        <v>4540</v>
      </c>
      <c r="C2544" s="340" t="s">
        <v>4539</v>
      </c>
      <c r="D2544" s="341">
        <v>978.96</v>
      </c>
      <c r="E2544" s="341">
        <v>46.16</v>
      </c>
      <c r="F2544" s="341">
        <v>10.49</v>
      </c>
      <c r="G2544" s="341">
        <v>922.31</v>
      </c>
      <c r="H2544" s="342">
        <v>6607.43</v>
      </c>
      <c r="I2544" s="342">
        <f>602.4</f>
        <v>602.4</v>
      </c>
      <c r="J2544" s="342">
        <v>53.07</v>
      </c>
      <c r="K2544" s="342">
        <v>5951.96</v>
      </c>
      <c r="L2544" s="357">
        <f>IF(978.96=0, "-", 6607.43/978.96)</f>
        <v>6.7494381792923104</v>
      </c>
      <c r="M2544" s="357">
        <v>13.05</v>
      </c>
      <c r="N2544" s="357">
        <f>IF(10.49=0, "-", 53.07/10.49)</f>
        <v>5.0591039084842704</v>
      </c>
      <c r="O2544" s="357">
        <f>IF(922.31=0, "-", 5951.96/922.31)</f>
        <v>6.4533182986197701</v>
      </c>
      <c r="P2544" s="343"/>
      <c r="Q2544" s="343"/>
      <c r="R2544" s="343">
        <f ca="1">IF(ISERROR(VALUE(TRIM(INDIRECT(ADDRESS(ROW()-1, COLUMN(A2289)))))), INDIRECT(ADDRESS(ROW()-2, COLUMN(R2289)))+1, INDIRECT(ADDRESS(ROW()-1, COLUMN(R2289))))</f>
        <v>22</v>
      </c>
    </row>
    <row r="2545" spans="1:18" ht="12.75">
      <c r="A2545" s="426" t="s">
        <v>4541</v>
      </c>
      <c r="B2545" s="427"/>
      <c r="C2545" s="427"/>
      <c r="D2545" s="427"/>
      <c r="E2545" s="427"/>
      <c r="F2545" s="427"/>
      <c r="G2545" s="427"/>
      <c r="H2545" s="427"/>
      <c r="I2545" s="427"/>
      <c r="J2545" s="427"/>
      <c r="K2545" s="427"/>
      <c r="L2545" s="427"/>
      <c r="M2545" s="427"/>
      <c r="N2545" s="427"/>
      <c r="O2545" s="427"/>
      <c r="P2545" s="427"/>
      <c r="Q2545" s="427"/>
      <c r="R2545" s="427"/>
    </row>
    <row r="2546" spans="1:18">
      <c r="A2546" s="339">
        <v>66.233999999999995</v>
      </c>
      <c r="B2546" s="334" t="s">
        <v>4542</v>
      </c>
      <c r="C2546" s="340" t="s">
        <v>4541</v>
      </c>
      <c r="D2546" s="341">
        <v>930.73</v>
      </c>
      <c r="E2546" s="341">
        <v>37.19</v>
      </c>
      <c r="F2546" s="341">
        <v>10.49</v>
      </c>
      <c r="G2546" s="341">
        <v>883.05</v>
      </c>
      <c r="H2546" s="342">
        <v>6274.8</v>
      </c>
      <c r="I2546" s="342">
        <f>485.38</f>
        <v>485.38</v>
      </c>
      <c r="J2546" s="342">
        <v>53.07</v>
      </c>
      <c r="K2546" s="342">
        <v>5736.35</v>
      </c>
      <c r="L2546" s="357">
        <f>IF(930.73=0, "-", 6274.8/930.73)</f>
        <v>6.7418048198725735</v>
      </c>
      <c r="M2546" s="357">
        <v>13.05</v>
      </c>
      <c r="N2546" s="357">
        <f>IF(10.49=0, "-", 53.07/10.49)</f>
        <v>5.0591039084842704</v>
      </c>
      <c r="O2546" s="357">
        <f>IF(883.05=0, "-", 5736.35/883.05)</f>
        <v>6.4960647754940268</v>
      </c>
      <c r="P2546" s="343"/>
      <c r="Q2546" s="343"/>
      <c r="R2546" s="343">
        <f ca="1">IF(ISERROR(VALUE(TRIM(INDIRECT(ADDRESS(ROW()-1, COLUMN(A2289)))))), INDIRECT(ADDRESS(ROW()-2, COLUMN(R2289)))+1, INDIRECT(ADDRESS(ROW()-1, COLUMN(R2289))))</f>
        <v>23</v>
      </c>
    </row>
    <row r="2547" spans="1:18" ht="12.75">
      <c r="A2547" s="426" t="s">
        <v>4543</v>
      </c>
      <c r="B2547" s="427"/>
      <c r="C2547" s="427"/>
      <c r="D2547" s="427"/>
      <c r="E2547" s="427"/>
      <c r="F2547" s="427"/>
      <c r="G2547" s="427"/>
      <c r="H2547" s="427"/>
      <c r="I2547" s="427"/>
      <c r="J2547" s="427"/>
      <c r="K2547" s="427"/>
      <c r="L2547" s="427"/>
      <c r="M2547" s="427"/>
      <c r="N2547" s="427"/>
      <c r="O2547" s="427"/>
      <c r="P2547" s="427"/>
      <c r="Q2547" s="427"/>
      <c r="R2547" s="427"/>
    </row>
    <row r="2548" spans="1:18" ht="24">
      <c r="A2548" s="339">
        <v>66.234999999999999</v>
      </c>
      <c r="B2548" s="334" t="s">
        <v>4544</v>
      </c>
      <c r="C2548" s="340" t="s">
        <v>4545</v>
      </c>
      <c r="D2548" s="341">
        <v>132.07</v>
      </c>
      <c r="E2548" s="341">
        <v>132.07</v>
      </c>
      <c r="F2548" s="341"/>
      <c r="G2548" s="341"/>
      <c r="H2548" s="342">
        <v>1723.55</v>
      </c>
      <c r="I2548" s="342">
        <f>1723.55</f>
        <v>1723.55</v>
      </c>
      <c r="J2548" s="342"/>
      <c r="K2548" s="342"/>
      <c r="L2548" s="357">
        <f>IF(132.07=0, "-", 1723.55/132.07)</f>
        <v>13.050276368592414</v>
      </c>
      <c r="M2548" s="357">
        <v>13.05</v>
      </c>
      <c r="N2548" s="357" t="str">
        <f t="shared" ref="N2548:O2550" si="8">IF(0=0, "-", 0/0)</f>
        <v>-</v>
      </c>
      <c r="O2548" s="357" t="str">
        <f t="shared" si="8"/>
        <v>-</v>
      </c>
      <c r="P2548" s="343"/>
      <c r="Q2548" s="343"/>
      <c r="R2548" s="343">
        <f ca="1">IF(ISERROR(VALUE(TRIM(INDIRECT(ADDRESS(ROW()-1, COLUMN(A2289)))))), INDIRECT(ADDRESS(ROW()-2, COLUMN(R2289)))+1, INDIRECT(ADDRESS(ROW()-1, COLUMN(R2289))))</f>
        <v>24</v>
      </c>
    </row>
    <row r="2549" spans="1:18" ht="24">
      <c r="A2549" s="339">
        <v>66.236000000000004</v>
      </c>
      <c r="B2549" s="334" t="s">
        <v>4546</v>
      </c>
      <c r="C2549" s="340" t="s">
        <v>4547</v>
      </c>
      <c r="D2549" s="341">
        <v>189.66</v>
      </c>
      <c r="E2549" s="341">
        <v>189.66</v>
      </c>
      <c r="F2549" s="341"/>
      <c r="G2549" s="341"/>
      <c r="H2549" s="342">
        <v>2475.17</v>
      </c>
      <c r="I2549" s="342">
        <f>2475.17</f>
        <v>2475.17</v>
      </c>
      <c r="J2549" s="342"/>
      <c r="K2549" s="342"/>
      <c r="L2549" s="357">
        <f>IF(189.66=0, "-", 2475.17/189.66)</f>
        <v>13.050564167457557</v>
      </c>
      <c r="M2549" s="357">
        <v>13.05</v>
      </c>
      <c r="N2549" s="357" t="str">
        <f t="shared" si="8"/>
        <v>-</v>
      </c>
      <c r="O2549" s="357" t="str">
        <f t="shared" si="8"/>
        <v>-</v>
      </c>
      <c r="P2549" s="343"/>
      <c r="Q2549" s="343"/>
      <c r="R2549" s="343">
        <f ca="1">IF(ISERROR(VALUE(TRIM(INDIRECT(ADDRESS(ROW()-1, COLUMN(A2289)))))), INDIRECT(ADDRESS(ROW()-2, COLUMN(R2289)))+1, INDIRECT(ADDRESS(ROW()-1, COLUMN(R2289))))</f>
        <v>24</v>
      </c>
    </row>
    <row r="2550" spans="1:18" ht="24">
      <c r="A2550" s="339">
        <v>66.236999999999995</v>
      </c>
      <c r="B2550" s="334" t="s">
        <v>4548</v>
      </c>
      <c r="C2550" s="340" t="s">
        <v>4549</v>
      </c>
      <c r="D2550" s="341">
        <v>191.65</v>
      </c>
      <c r="E2550" s="341">
        <v>191.65</v>
      </c>
      <c r="F2550" s="341"/>
      <c r="G2550" s="341"/>
      <c r="H2550" s="342">
        <v>2501.09</v>
      </c>
      <c r="I2550" s="342">
        <f>2501.09</f>
        <v>2501.09</v>
      </c>
      <c r="J2550" s="342"/>
      <c r="K2550" s="342"/>
      <c r="L2550" s="357">
        <f>IF(191.65=0, "-", 2501.09/191.65)</f>
        <v>13.050300026089225</v>
      </c>
      <c r="M2550" s="357">
        <v>13.05</v>
      </c>
      <c r="N2550" s="357" t="str">
        <f t="shared" si="8"/>
        <v>-</v>
      </c>
      <c r="O2550" s="357" t="str">
        <f t="shared" si="8"/>
        <v>-</v>
      </c>
      <c r="P2550" s="343"/>
      <c r="Q2550" s="343"/>
      <c r="R2550" s="343">
        <f ca="1">IF(ISERROR(VALUE(TRIM(INDIRECT(ADDRESS(ROW()-1, COLUMN(A2289)))))), INDIRECT(ADDRESS(ROW()-2, COLUMN(R2289)))+1, INDIRECT(ADDRESS(ROW()-1, COLUMN(R2289))))</f>
        <v>24</v>
      </c>
    </row>
    <row r="2551" spans="1:18" ht="12.75">
      <c r="A2551" s="426" t="s">
        <v>4550</v>
      </c>
      <c r="B2551" s="427"/>
      <c r="C2551" s="427"/>
      <c r="D2551" s="427"/>
      <c r="E2551" s="427"/>
      <c r="F2551" s="427"/>
      <c r="G2551" s="427"/>
      <c r="H2551" s="427"/>
      <c r="I2551" s="427"/>
      <c r="J2551" s="427"/>
      <c r="K2551" s="427"/>
      <c r="L2551" s="427"/>
      <c r="M2551" s="427"/>
      <c r="N2551" s="427"/>
      <c r="O2551" s="427"/>
      <c r="P2551" s="427"/>
      <c r="Q2551" s="427"/>
      <c r="R2551" s="427"/>
    </row>
    <row r="2552" spans="1:18">
      <c r="A2552" s="339">
        <v>66.238</v>
      </c>
      <c r="B2552" s="334" t="s">
        <v>4551</v>
      </c>
      <c r="C2552" s="340" t="s">
        <v>4550</v>
      </c>
      <c r="D2552" s="341">
        <v>25.18</v>
      </c>
      <c r="E2552" s="341">
        <v>25.18</v>
      </c>
      <c r="F2552" s="341"/>
      <c r="G2552" s="341"/>
      <c r="H2552" s="342">
        <v>328.61</v>
      </c>
      <c r="I2552" s="342">
        <f>328.61</f>
        <v>328.61</v>
      </c>
      <c r="J2552" s="342"/>
      <c r="K2552" s="342"/>
      <c r="L2552" s="357">
        <f>IF(25.18=0, "-", 328.61/25.18)</f>
        <v>13.050436854646545</v>
      </c>
      <c r="M2552" s="357">
        <v>13.05</v>
      </c>
      <c r="N2552" s="357" t="str">
        <f>IF(0=0, "-", 0/0)</f>
        <v>-</v>
      </c>
      <c r="O2552" s="357" t="str">
        <f>IF(0=0, "-", 0/0)</f>
        <v>-</v>
      </c>
      <c r="P2552" s="343"/>
      <c r="Q2552" s="343"/>
      <c r="R2552" s="343">
        <f ca="1">IF(ISERROR(VALUE(TRIM(INDIRECT(ADDRESS(ROW()-1, COLUMN(A2289)))))), INDIRECT(ADDRESS(ROW()-2, COLUMN(R2289)))+1, INDIRECT(ADDRESS(ROW()-1, COLUMN(R2289))))</f>
        <v>25</v>
      </c>
    </row>
    <row r="2553" spans="1:18" ht="12.75">
      <c r="A2553" s="426" t="s">
        <v>4552</v>
      </c>
      <c r="B2553" s="427"/>
      <c r="C2553" s="427"/>
      <c r="D2553" s="427"/>
      <c r="E2553" s="427"/>
      <c r="F2553" s="427"/>
      <c r="G2553" s="427"/>
      <c r="H2553" s="427"/>
      <c r="I2553" s="427"/>
      <c r="J2553" s="427"/>
      <c r="K2553" s="427"/>
      <c r="L2553" s="427"/>
      <c r="M2553" s="427"/>
      <c r="N2553" s="427"/>
      <c r="O2553" s="427"/>
      <c r="P2553" s="427"/>
      <c r="Q2553" s="427"/>
      <c r="R2553" s="427"/>
    </row>
    <row r="2554" spans="1:18">
      <c r="A2554" s="339">
        <v>66.239000000000004</v>
      </c>
      <c r="B2554" s="334" t="s">
        <v>4553</v>
      </c>
      <c r="C2554" s="340" t="s">
        <v>4554</v>
      </c>
      <c r="D2554" s="341">
        <v>16.79</v>
      </c>
      <c r="E2554" s="341">
        <v>6.3</v>
      </c>
      <c r="F2554" s="341">
        <v>10.49</v>
      </c>
      <c r="G2554" s="341"/>
      <c r="H2554" s="342">
        <v>135.22</v>
      </c>
      <c r="I2554" s="342">
        <f>82.15</f>
        <v>82.15</v>
      </c>
      <c r="J2554" s="342">
        <v>53.07</v>
      </c>
      <c r="K2554" s="342"/>
      <c r="L2554" s="357">
        <f>IF(16.79=0, "-", 135.22/16.79)</f>
        <v>8.0536033353186429</v>
      </c>
      <c r="M2554" s="357">
        <v>13.05</v>
      </c>
      <c r="N2554" s="357">
        <f>IF(10.49=0, "-", 53.07/10.49)</f>
        <v>5.0591039084842704</v>
      </c>
      <c r="O2554" s="357" t="str">
        <f t="shared" ref="O2554:O2567" si="9">IF(0=0, "-", 0/0)</f>
        <v>-</v>
      </c>
      <c r="P2554" s="343"/>
      <c r="Q2554" s="343"/>
      <c r="R2554" s="343">
        <f ca="1">IF(ISERROR(VALUE(TRIM(INDIRECT(ADDRESS(ROW()-1, COLUMN(A2289)))))), INDIRECT(ADDRESS(ROW()-2, COLUMN(R2289)))+1, INDIRECT(ADDRESS(ROW()-1, COLUMN(R2289))))</f>
        <v>26</v>
      </c>
    </row>
    <row r="2555" spans="1:18">
      <c r="A2555" s="339">
        <v>66.239999999999995</v>
      </c>
      <c r="B2555" s="334" t="s">
        <v>4555</v>
      </c>
      <c r="C2555" s="340" t="s">
        <v>4556</v>
      </c>
      <c r="D2555" s="341">
        <v>22.25</v>
      </c>
      <c r="E2555" s="341">
        <v>11.76</v>
      </c>
      <c r="F2555" s="341">
        <v>10.49</v>
      </c>
      <c r="G2555" s="341"/>
      <c r="H2555" s="342">
        <v>206.61</v>
      </c>
      <c r="I2555" s="342">
        <f>153.54</f>
        <v>153.54</v>
      </c>
      <c r="J2555" s="342">
        <v>53.07</v>
      </c>
      <c r="K2555" s="342"/>
      <c r="L2555" s="357">
        <f>IF(22.25=0, "-", 206.61/22.25)</f>
        <v>9.2858426966292136</v>
      </c>
      <c r="M2555" s="357">
        <v>13.05</v>
      </c>
      <c r="N2555" s="357">
        <f>IF(10.49=0, "-", 53.07/10.49)</f>
        <v>5.0591039084842704</v>
      </c>
      <c r="O2555" s="357" t="str">
        <f t="shared" si="9"/>
        <v>-</v>
      </c>
      <c r="P2555" s="343"/>
      <c r="Q2555" s="343"/>
      <c r="R2555" s="343">
        <f ca="1">IF(ISERROR(VALUE(TRIM(INDIRECT(ADDRESS(ROW()-1, COLUMN(A2289)))))), INDIRECT(ADDRESS(ROW()-2, COLUMN(R2289)))+1, INDIRECT(ADDRESS(ROW()-1, COLUMN(R2289))))</f>
        <v>26</v>
      </c>
    </row>
    <row r="2556" spans="1:18">
      <c r="A2556" s="339">
        <v>66.241</v>
      </c>
      <c r="B2556" s="334" t="s">
        <v>4557</v>
      </c>
      <c r="C2556" s="340" t="s">
        <v>4558</v>
      </c>
      <c r="D2556" s="341">
        <v>29.69</v>
      </c>
      <c r="E2556" s="341">
        <v>19.2</v>
      </c>
      <c r="F2556" s="341">
        <v>10.49</v>
      </c>
      <c r="G2556" s="341"/>
      <c r="H2556" s="342">
        <v>303.57</v>
      </c>
      <c r="I2556" s="342">
        <f>250.5</f>
        <v>250.5</v>
      </c>
      <c r="J2556" s="342">
        <v>53.07</v>
      </c>
      <c r="K2556" s="342"/>
      <c r="L2556" s="357">
        <f>IF(29.69=0, "-", 303.57/29.69)</f>
        <v>10.224654765914449</v>
      </c>
      <c r="M2556" s="357">
        <v>13.05</v>
      </c>
      <c r="N2556" s="357">
        <f>IF(10.49=0, "-", 53.07/10.49)</f>
        <v>5.0591039084842704</v>
      </c>
      <c r="O2556" s="357" t="str">
        <f t="shared" si="9"/>
        <v>-</v>
      </c>
      <c r="P2556" s="343"/>
      <c r="Q2556" s="343"/>
      <c r="R2556" s="343">
        <f ca="1">IF(ISERROR(VALUE(TRIM(INDIRECT(ADDRESS(ROW()-1, COLUMN(A2289)))))), INDIRECT(ADDRESS(ROW()-2, COLUMN(R2289)))+1, INDIRECT(ADDRESS(ROW()-1, COLUMN(R2289))))</f>
        <v>26</v>
      </c>
    </row>
    <row r="2557" spans="1:18">
      <c r="A2557" s="339">
        <v>66.242000000000004</v>
      </c>
      <c r="B2557" s="334" t="s">
        <v>4559</v>
      </c>
      <c r="C2557" s="340" t="s">
        <v>4560</v>
      </c>
      <c r="D2557" s="341">
        <v>82.12</v>
      </c>
      <c r="E2557" s="341">
        <v>25.28</v>
      </c>
      <c r="F2557" s="341">
        <v>56.84</v>
      </c>
      <c r="G2557" s="341"/>
      <c r="H2557" s="342">
        <v>805.31</v>
      </c>
      <c r="I2557" s="342">
        <f>329.97</f>
        <v>329.97</v>
      </c>
      <c r="J2557" s="342">
        <v>475.34</v>
      </c>
      <c r="K2557" s="342"/>
      <c r="L2557" s="357">
        <f>IF(82.12=0, "-", 805.31/82.12)</f>
        <v>9.8065026790063303</v>
      </c>
      <c r="M2557" s="357">
        <v>13.05</v>
      </c>
      <c r="N2557" s="357">
        <f>IF(56.84=0, "-", 475.34/56.84)</f>
        <v>8.3627726952850097</v>
      </c>
      <c r="O2557" s="357" t="str">
        <f t="shared" si="9"/>
        <v>-</v>
      </c>
      <c r="P2557" s="343"/>
      <c r="Q2557" s="343"/>
      <c r="R2557" s="343">
        <f ca="1">IF(ISERROR(VALUE(TRIM(INDIRECT(ADDRESS(ROW()-1, COLUMN(A2289)))))), INDIRECT(ADDRESS(ROW()-2, COLUMN(R2289)))+1, INDIRECT(ADDRESS(ROW()-1, COLUMN(R2289))))</f>
        <v>26</v>
      </c>
    </row>
    <row r="2558" spans="1:18">
      <c r="A2558" s="339">
        <v>66.242999999999995</v>
      </c>
      <c r="B2558" s="334" t="s">
        <v>4561</v>
      </c>
      <c r="C2558" s="340" t="s">
        <v>4562</v>
      </c>
      <c r="D2558" s="341">
        <v>169.52</v>
      </c>
      <c r="E2558" s="341">
        <v>33.75</v>
      </c>
      <c r="F2558" s="341">
        <v>135.77000000000001</v>
      </c>
      <c r="G2558" s="341"/>
      <c r="H2558" s="342">
        <v>1634.73</v>
      </c>
      <c r="I2558" s="342">
        <f>440.4</f>
        <v>440.4</v>
      </c>
      <c r="J2558" s="342">
        <v>1194.33</v>
      </c>
      <c r="K2558" s="342"/>
      <c r="L2558" s="357">
        <f>IF(169.52=0, "-", 1634.73/169.52)</f>
        <v>9.6432869277961295</v>
      </c>
      <c r="M2558" s="357">
        <v>13.05</v>
      </c>
      <c r="N2558" s="357">
        <f>IF(135.77=0, "-", 1194.33/135.77)</f>
        <v>8.7967150327760173</v>
      </c>
      <c r="O2558" s="357" t="str">
        <f t="shared" si="9"/>
        <v>-</v>
      </c>
      <c r="P2558" s="343"/>
      <c r="Q2558" s="343"/>
      <c r="R2558" s="343">
        <f ca="1">IF(ISERROR(VALUE(TRIM(INDIRECT(ADDRESS(ROW()-1, COLUMN(A2289)))))), INDIRECT(ADDRESS(ROW()-2, COLUMN(R2289)))+1, INDIRECT(ADDRESS(ROW()-1, COLUMN(R2289))))</f>
        <v>26</v>
      </c>
    </row>
    <row r="2559" spans="1:18">
      <c r="A2559" s="339">
        <v>66.244</v>
      </c>
      <c r="B2559" s="334" t="s">
        <v>4563</v>
      </c>
      <c r="C2559" s="340" t="s">
        <v>4564</v>
      </c>
      <c r="D2559" s="341">
        <v>233.21</v>
      </c>
      <c r="E2559" s="341">
        <v>59.86</v>
      </c>
      <c r="F2559" s="341">
        <v>173.35</v>
      </c>
      <c r="G2559" s="341"/>
      <c r="H2559" s="342">
        <v>2317.85</v>
      </c>
      <c r="I2559" s="342">
        <f>781.14</f>
        <v>781.14</v>
      </c>
      <c r="J2559" s="342">
        <v>1536.71</v>
      </c>
      <c r="K2559" s="342"/>
      <c r="L2559" s="357">
        <f>IF(233.21=0, "-", 2317.85/233.21)</f>
        <v>9.9388962737446924</v>
      </c>
      <c r="M2559" s="357">
        <v>13.05</v>
      </c>
      <c r="N2559" s="357">
        <f>IF(173.35=0, "-", 1536.71/173.35)</f>
        <v>8.8647822324776477</v>
      </c>
      <c r="O2559" s="357" t="str">
        <f t="shared" si="9"/>
        <v>-</v>
      </c>
      <c r="P2559" s="343"/>
      <c r="Q2559" s="343"/>
      <c r="R2559" s="343">
        <f ca="1">IF(ISERROR(VALUE(TRIM(INDIRECT(ADDRESS(ROW()-1, COLUMN(A2289)))))), INDIRECT(ADDRESS(ROW()-2, COLUMN(R2289)))+1, INDIRECT(ADDRESS(ROW()-1, COLUMN(R2289))))</f>
        <v>26</v>
      </c>
    </row>
    <row r="2560" spans="1:18">
      <c r="A2560" s="339">
        <v>66.245000000000005</v>
      </c>
      <c r="B2560" s="334" t="s">
        <v>4565</v>
      </c>
      <c r="C2560" s="340" t="s">
        <v>4566</v>
      </c>
      <c r="D2560" s="341">
        <v>288.41000000000003</v>
      </c>
      <c r="E2560" s="341">
        <v>71.209999999999994</v>
      </c>
      <c r="F2560" s="341">
        <v>217.2</v>
      </c>
      <c r="G2560" s="341"/>
      <c r="H2560" s="342">
        <v>2865.44</v>
      </c>
      <c r="I2560" s="342">
        <f>929.29</f>
        <v>929.29</v>
      </c>
      <c r="J2560" s="342">
        <v>1936.15</v>
      </c>
      <c r="K2560" s="342"/>
      <c r="L2560" s="357">
        <f>IF(288.41=0, "-", 2865.44/288.41)</f>
        <v>9.9353004403453404</v>
      </c>
      <c r="M2560" s="357">
        <v>13.05</v>
      </c>
      <c r="N2560" s="357">
        <f>IF(217.2=0, "-", 1936.15/217.2)</f>
        <v>8.9141344383057106</v>
      </c>
      <c r="O2560" s="357" t="str">
        <f t="shared" si="9"/>
        <v>-</v>
      </c>
      <c r="P2560" s="343"/>
      <c r="Q2560" s="343"/>
      <c r="R2560" s="343">
        <f ca="1">IF(ISERROR(VALUE(TRIM(INDIRECT(ADDRESS(ROW()-1, COLUMN(A2289)))))), INDIRECT(ADDRESS(ROW()-2, COLUMN(R2289)))+1, INDIRECT(ADDRESS(ROW()-1, COLUMN(R2289))))</f>
        <v>26</v>
      </c>
    </row>
    <row r="2561" spans="1:18">
      <c r="A2561" s="339">
        <v>66.245999999999995</v>
      </c>
      <c r="B2561" s="334" t="s">
        <v>4567</v>
      </c>
      <c r="C2561" s="340" t="s">
        <v>4568</v>
      </c>
      <c r="D2561" s="341">
        <v>355.92</v>
      </c>
      <c r="E2561" s="341">
        <v>83.59</v>
      </c>
      <c r="F2561" s="341">
        <v>272.33</v>
      </c>
      <c r="G2561" s="341"/>
      <c r="H2561" s="342">
        <v>3529.21</v>
      </c>
      <c r="I2561" s="342">
        <f>1090.91</f>
        <v>1090.9100000000001</v>
      </c>
      <c r="J2561" s="342">
        <v>2438.3000000000002</v>
      </c>
      <c r="K2561" s="342"/>
      <c r="L2561" s="357">
        <f>IF(355.92=0, "-", 3529.21/355.92)</f>
        <v>9.9157394920206787</v>
      </c>
      <c r="M2561" s="357">
        <v>13.05</v>
      </c>
      <c r="N2561" s="357">
        <f>IF(272.33=0, "-", 2438.3/272.33)</f>
        <v>8.9534755627363865</v>
      </c>
      <c r="O2561" s="357" t="str">
        <f t="shared" si="9"/>
        <v>-</v>
      </c>
      <c r="P2561" s="343"/>
      <c r="Q2561" s="343"/>
      <c r="R2561" s="343">
        <f ca="1">IF(ISERROR(VALUE(TRIM(INDIRECT(ADDRESS(ROW()-1, COLUMN(A2289)))))), INDIRECT(ADDRESS(ROW()-2, COLUMN(R2289)))+1, INDIRECT(ADDRESS(ROW()-1, COLUMN(R2289))))</f>
        <v>26</v>
      </c>
    </row>
    <row r="2562" spans="1:18">
      <c r="A2562" s="339">
        <v>66.247</v>
      </c>
      <c r="B2562" s="334" t="s">
        <v>4569</v>
      </c>
      <c r="C2562" s="340" t="s">
        <v>4570</v>
      </c>
      <c r="D2562" s="341">
        <v>442.3</v>
      </c>
      <c r="E2562" s="341">
        <v>107.33</v>
      </c>
      <c r="F2562" s="341">
        <v>334.97</v>
      </c>
      <c r="G2562" s="341"/>
      <c r="H2562" s="342">
        <v>4409.6000000000004</v>
      </c>
      <c r="I2562" s="342">
        <f>1400.67</f>
        <v>1400.67</v>
      </c>
      <c r="J2562" s="342">
        <v>3008.93</v>
      </c>
      <c r="K2562" s="342"/>
      <c r="L2562" s="357">
        <f>IF(442.3=0, "-", 4409.6/442.3)</f>
        <v>9.9697038209360169</v>
      </c>
      <c r="M2562" s="357">
        <v>13.05</v>
      </c>
      <c r="N2562" s="357">
        <f>IF(334.97=0, "-", 3008.93/334.97)</f>
        <v>8.9826850165686469</v>
      </c>
      <c r="O2562" s="357" t="str">
        <f t="shared" si="9"/>
        <v>-</v>
      </c>
      <c r="P2562" s="343"/>
      <c r="Q2562" s="343"/>
      <c r="R2562" s="343">
        <f ca="1">IF(ISERROR(VALUE(TRIM(INDIRECT(ADDRESS(ROW()-1, COLUMN(A2289)))))), INDIRECT(ADDRESS(ROW()-2, COLUMN(R2289)))+1, INDIRECT(ADDRESS(ROW()-1, COLUMN(R2289))))</f>
        <v>26</v>
      </c>
    </row>
    <row r="2563" spans="1:18">
      <c r="A2563" s="339">
        <v>66.248000000000005</v>
      </c>
      <c r="B2563" s="334" t="s">
        <v>4571</v>
      </c>
      <c r="C2563" s="340" t="s">
        <v>4572</v>
      </c>
      <c r="D2563" s="341">
        <v>548.57000000000005</v>
      </c>
      <c r="E2563" s="341">
        <v>143.44999999999999</v>
      </c>
      <c r="F2563" s="341">
        <v>405.12</v>
      </c>
      <c r="G2563" s="341"/>
      <c r="H2563" s="342">
        <v>5520.09</v>
      </c>
      <c r="I2563" s="342">
        <f>1872.05</f>
        <v>1872.05</v>
      </c>
      <c r="J2563" s="342">
        <v>3648.04</v>
      </c>
      <c r="K2563" s="342"/>
      <c r="L2563" s="357">
        <f>IF(548.57=0, "-", 5520.09/548.57)</f>
        <v>10.062690267422571</v>
      </c>
      <c r="M2563" s="357">
        <v>13.05</v>
      </c>
      <c r="N2563" s="357">
        <f>IF(405.12=0, "-", 3648.04/405.12)</f>
        <v>9.0048380726698252</v>
      </c>
      <c r="O2563" s="357" t="str">
        <f t="shared" si="9"/>
        <v>-</v>
      </c>
      <c r="P2563" s="343"/>
      <c r="Q2563" s="343"/>
      <c r="R2563" s="343">
        <f ca="1">IF(ISERROR(VALUE(TRIM(INDIRECT(ADDRESS(ROW()-1, COLUMN(A2289)))))), INDIRECT(ADDRESS(ROW()-2, COLUMN(R2289)))+1, INDIRECT(ADDRESS(ROW()-1, COLUMN(R2289))))</f>
        <v>26</v>
      </c>
    </row>
    <row r="2564" spans="1:18">
      <c r="A2564" s="339">
        <v>66.248999999999995</v>
      </c>
      <c r="B2564" s="334" t="s">
        <v>4573</v>
      </c>
      <c r="C2564" s="340" t="s">
        <v>4574</v>
      </c>
      <c r="D2564" s="341">
        <v>629.78</v>
      </c>
      <c r="E2564" s="341">
        <v>162.02000000000001</v>
      </c>
      <c r="F2564" s="341">
        <v>467.76</v>
      </c>
      <c r="G2564" s="341"/>
      <c r="H2564" s="342">
        <v>6333.15</v>
      </c>
      <c r="I2564" s="342">
        <f>2114.48</f>
        <v>2114.48</v>
      </c>
      <c r="J2564" s="342">
        <v>4218.67</v>
      </c>
      <c r="K2564" s="342"/>
      <c r="L2564" s="357">
        <f>IF(629.78=0, "-", 6333.15/629.78)</f>
        <v>10.056130712312235</v>
      </c>
      <c r="M2564" s="357">
        <v>13.05</v>
      </c>
      <c r="N2564" s="357">
        <f>IF(467.76=0, "-", 4218.67/467.76)</f>
        <v>9.0188772019839245</v>
      </c>
      <c r="O2564" s="357" t="str">
        <f t="shared" si="9"/>
        <v>-</v>
      </c>
      <c r="P2564" s="343"/>
      <c r="Q2564" s="343"/>
      <c r="R2564" s="343">
        <f ca="1">IF(ISERROR(VALUE(TRIM(INDIRECT(ADDRESS(ROW()-1, COLUMN(A2289)))))), INDIRECT(ADDRESS(ROW()-2, COLUMN(R2289)))+1, INDIRECT(ADDRESS(ROW()-1, COLUMN(R2289))))</f>
        <v>26</v>
      </c>
    </row>
    <row r="2565" spans="1:18">
      <c r="A2565" s="339">
        <v>66.25</v>
      </c>
      <c r="B2565" s="334" t="s">
        <v>4575</v>
      </c>
      <c r="C2565" s="340" t="s">
        <v>4576</v>
      </c>
      <c r="D2565" s="341">
        <v>726.77</v>
      </c>
      <c r="E2565" s="341">
        <v>180.08</v>
      </c>
      <c r="F2565" s="341">
        <v>546.69000000000005</v>
      </c>
      <c r="G2565" s="341"/>
      <c r="H2565" s="342">
        <v>7287.83</v>
      </c>
      <c r="I2565" s="342">
        <f>2350.17</f>
        <v>2350.17</v>
      </c>
      <c r="J2565" s="342">
        <v>4937.66</v>
      </c>
      <c r="K2565" s="342"/>
      <c r="L2565" s="357">
        <f>IF(726.77=0, "-", 7287.83/726.77)</f>
        <v>10.027697896170729</v>
      </c>
      <c r="M2565" s="357">
        <v>13.05</v>
      </c>
      <c r="N2565" s="357">
        <f>IF(546.69=0, "-", 4937.66/546.69)</f>
        <v>9.0319193692952116</v>
      </c>
      <c r="O2565" s="357" t="str">
        <f t="shared" si="9"/>
        <v>-</v>
      </c>
      <c r="P2565" s="343"/>
      <c r="Q2565" s="343"/>
      <c r="R2565" s="343">
        <f ca="1">IF(ISERROR(VALUE(TRIM(INDIRECT(ADDRESS(ROW()-1, COLUMN(A2289)))))), INDIRECT(ADDRESS(ROW()-2, COLUMN(R2289)))+1, INDIRECT(ADDRESS(ROW()-1, COLUMN(R2289))))</f>
        <v>26</v>
      </c>
    </row>
    <row r="2566" spans="1:18">
      <c r="A2566" s="339">
        <v>66.251000000000005</v>
      </c>
      <c r="B2566" s="334" t="s">
        <v>4577</v>
      </c>
      <c r="C2566" s="340" t="s">
        <v>4578</v>
      </c>
      <c r="D2566" s="341">
        <v>910.35</v>
      </c>
      <c r="E2566" s="341">
        <v>230.86</v>
      </c>
      <c r="F2566" s="341">
        <v>679.49</v>
      </c>
      <c r="G2566" s="341"/>
      <c r="H2566" s="342">
        <v>9160.19</v>
      </c>
      <c r="I2566" s="342">
        <f>3012.79</f>
        <v>3012.79</v>
      </c>
      <c r="J2566" s="342">
        <v>6147.4</v>
      </c>
      <c r="K2566" s="342"/>
      <c r="L2566" s="357">
        <f>IF(910.35=0, "-", 9160.19/910.35)</f>
        <v>10.062272752238151</v>
      </c>
      <c r="M2566" s="357">
        <v>13.05</v>
      </c>
      <c r="N2566" s="357">
        <f>IF(679.49=0, "-", 6147.4/679.49)</f>
        <v>9.0470794272174722</v>
      </c>
      <c r="O2566" s="357" t="str">
        <f t="shared" si="9"/>
        <v>-</v>
      </c>
      <c r="P2566" s="343"/>
      <c r="Q2566" s="343"/>
      <c r="R2566" s="343">
        <f ca="1">IF(ISERROR(VALUE(TRIM(INDIRECT(ADDRESS(ROW()-1, COLUMN(A2289)))))), INDIRECT(ADDRESS(ROW()-2, COLUMN(R2289)))+1, INDIRECT(ADDRESS(ROW()-1, COLUMN(R2289))))</f>
        <v>26</v>
      </c>
    </row>
    <row r="2567" spans="1:18">
      <c r="A2567" s="344">
        <v>66.251999999999995</v>
      </c>
      <c r="B2567" s="345" t="s">
        <v>4579</v>
      </c>
      <c r="C2567" s="346" t="s">
        <v>4580</v>
      </c>
      <c r="D2567" s="347">
        <v>1076.8599999999999</v>
      </c>
      <c r="E2567" s="347">
        <v>258.31</v>
      </c>
      <c r="F2567" s="347">
        <v>818.55</v>
      </c>
      <c r="G2567" s="347"/>
      <c r="H2567" s="348">
        <v>10785.24</v>
      </c>
      <c r="I2567" s="348">
        <f>3371.04</f>
        <v>3371.04</v>
      </c>
      <c r="J2567" s="348">
        <v>7414.2</v>
      </c>
      <c r="K2567" s="348"/>
      <c r="L2567" s="356">
        <f>IF(1076.86=0, "-", 10785.24/1076.86)</f>
        <v>10.015452333636684</v>
      </c>
      <c r="M2567" s="357">
        <v>13.05</v>
      </c>
      <c r="N2567" s="356">
        <f>IF(818.55=0, "-", 7414.2/818.55)</f>
        <v>9.057724024189115</v>
      </c>
      <c r="O2567" s="356" t="str">
        <f t="shared" si="9"/>
        <v>-</v>
      </c>
      <c r="P2567" s="349"/>
      <c r="Q2567" s="349"/>
      <c r="R2567" s="349">
        <f ca="1">IF(ISERROR(VALUE(TRIM(INDIRECT(ADDRESS(ROW()-1, COLUMN(A2289)))))), INDIRECT(ADDRESS(ROW()-2, COLUMN(R2289)))+1, INDIRECT(ADDRESS(ROW()-1, COLUMN(R2289))))</f>
        <v>26</v>
      </c>
    </row>
    <row r="2568" spans="1:18" ht="12.75">
      <c r="A2568" s="428" t="s">
        <v>2109</v>
      </c>
      <c r="B2568" s="429"/>
      <c r="C2568" s="429"/>
      <c r="D2568" s="429"/>
      <c r="E2568" s="429"/>
      <c r="F2568" s="429"/>
      <c r="G2568" s="429"/>
      <c r="H2568" s="429"/>
      <c r="I2568" s="429"/>
      <c r="J2568" s="429"/>
      <c r="K2568" s="429"/>
      <c r="L2568" s="429"/>
      <c r="M2568" s="429"/>
      <c r="N2568" s="429"/>
      <c r="O2568" s="429"/>
      <c r="P2568" s="429"/>
      <c r="Q2568" s="429"/>
      <c r="R2568" s="429"/>
    </row>
    <row r="2569" spans="1:18" ht="12.75">
      <c r="A2569" s="426" t="s">
        <v>4581</v>
      </c>
      <c r="B2569" s="427"/>
      <c r="C2569" s="427"/>
      <c r="D2569" s="427"/>
      <c r="E2569" s="427"/>
      <c r="F2569" s="427"/>
      <c r="G2569" s="427"/>
      <c r="H2569" s="427"/>
      <c r="I2569" s="427"/>
      <c r="J2569" s="427"/>
      <c r="K2569" s="427"/>
      <c r="L2569" s="427"/>
      <c r="M2569" s="427"/>
      <c r="N2569" s="427"/>
      <c r="O2569" s="427"/>
      <c r="P2569" s="427"/>
      <c r="Q2569" s="427"/>
      <c r="R2569" s="427"/>
    </row>
    <row r="2570" spans="1:18" ht="12.75">
      <c r="A2570" s="426" t="s">
        <v>4582</v>
      </c>
      <c r="B2570" s="427"/>
      <c r="C2570" s="427"/>
      <c r="D2570" s="427"/>
      <c r="E2570" s="427"/>
      <c r="F2570" s="427"/>
      <c r="G2570" s="427"/>
      <c r="H2570" s="427"/>
      <c r="I2570" s="427"/>
      <c r="J2570" s="427"/>
      <c r="K2570" s="427"/>
      <c r="L2570" s="427"/>
      <c r="M2570" s="427"/>
      <c r="N2570" s="427"/>
      <c r="O2570" s="427"/>
      <c r="P2570" s="427"/>
      <c r="Q2570" s="427"/>
      <c r="R2570" s="427"/>
    </row>
    <row r="2571" spans="1:18" ht="36">
      <c r="A2571" s="339">
        <v>66.253</v>
      </c>
      <c r="B2571" s="334" t="s">
        <v>4583</v>
      </c>
      <c r="C2571" s="340" t="s">
        <v>4584</v>
      </c>
      <c r="D2571" s="341">
        <v>13034.45</v>
      </c>
      <c r="E2571" s="341">
        <v>1991.14</v>
      </c>
      <c r="F2571" s="341">
        <v>10671.21</v>
      </c>
      <c r="G2571" s="341">
        <v>372.1</v>
      </c>
      <c r="H2571" s="342">
        <v>99284.24</v>
      </c>
      <c r="I2571" s="342">
        <f>25984.15</f>
        <v>25984.15</v>
      </c>
      <c r="J2571" s="342">
        <v>70428.149999999994</v>
      </c>
      <c r="K2571" s="342">
        <v>2871.94</v>
      </c>
      <c r="L2571" s="357">
        <f>IF(13034.45=0, "-", 99284.24/13034.45)</f>
        <v>7.6170640111397105</v>
      </c>
      <c r="M2571" s="357">
        <v>13.05</v>
      </c>
      <c r="N2571" s="357">
        <f>IF(10671.21=0, "-", 70428.15/10671.21)</f>
        <v>6.599827948283278</v>
      </c>
      <c r="O2571" s="357">
        <f>IF(372.1=0, "-", 2871.94/372.1)</f>
        <v>7.7181940338618649</v>
      </c>
      <c r="P2571" s="343"/>
      <c r="Q2571" s="343"/>
      <c r="R2571" s="343">
        <f ca="1">IF(ISERROR(VALUE(TRIM(INDIRECT(ADDRESS(ROW()-1, COLUMN(A2289)))))), INDIRECT(ADDRESS(ROW()-2, COLUMN(R2289)))+1, INDIRECT(ADDRESS(ROW()-1, COLUMN(R2289))))</f>
        <v>1</v>
      </c>
    </row>
    <row r="2572" spans="1:18" ht="36">
      <c r="A2572" s="339">
        <v>66.254000000000005</v>
      </c>
      <c r="B2572" s="334" t="s">
        <v>4585</v>
      </c>
      <c r="C2572" s="340" t="s">
        <v>4586</v>
      </c>
      <c r="D2572" s="341">
        <v>16961.18</v>
      </c>
      <c r="E2572" s="341">
        <v>2613.6799999999998</v>
      </c>
      <c r="F2572" s="341">
        <v>13851.37</v>
      </c>
      <c r="G2572" s="341">
        <v>496.13</v>
      </c>
      <c r="H2572" s="342">
        <v>129430.59</v>
      </c>
      <c r="I2572" s="342">
        <f>34108.23</f>
        <v>34108.230000000003</v>
      </c>
      <c r="J2572" s="342">
        <v>91493.11</v>
      </c>
      <c r="K2572" s="342">
        <v>3829.25</v>
      </c>
      <c r="L2572" s="357">
        <f>IF(16961.18=0, "-", 129430.59/16961.18)</f>
        <v>7.6309897070840584</v>
      </c>
      <c r="M2572" s="357">
        <v>13.05</v>
      </c>
      <c r="N2572" s="357">
        <f>IF(13851.37=0, "-", 91493.11/13851.37)</f>
        <v>6.6053473410933359</v>
      </c>
      <c r="O2572" s="357">
        <f>IF(496.13=0, "-", 3829.25/496.13)</f>
        <v>7.7182391711849716</v>
      </c>
      <c r="P2572" s="343"/>
      <c r="Q2572" s="343"/>
      <c r="R2572" s="343">
        <f ca="1">IF(ISERROR(VALUE(TRIM(INDIRECT(ADDRESS(ROW()-1, COLUMN(A2289)))))), INDIRECT(ADDRESS(ROW()-2, COLUMN(R2289)))+1, INDIRECT(ADDRESS(ROW()-1, COLUMN(R2289))))</f>
        <v>1</v>
      </c>
    </row>
    <row r="2573" spans="1:18" ht="36">
      <c r="A2573" s="339">
        <v>66.254999999999995</v>
      </c>
      <c r="B2573" s="334" t="s">
        <v>4587</v>
      </c>
      <c r="C2573" s="340" t="s">
        <v>4588</v>
      </c>
      <c r="D2573" s="341">
        <v>21295.7</v>
      </c>
      <c r="E2573" s="341">
        <v>3267.1</v>
      </c>
      <c r="F2573" s="341">
        <v>17408.439999999999</v>
      </c>
      <c r="G2573" s="341">
        <v>620.16</v>
      </c>
      <c r="H2573" s="342">
        <v>162391</v>
      </c>
      <c r="I2573" s="342">
        <f>42635.28</f>
        <v>42635.28</v>
      </c>
      <c r="J2573" s="342">
        <v>114969.16</v>
      </c>
      <c r="K2573" s="342">
        <v>4786.5600000000004</v>
      </c>
      <c r="L2573" s="357">
        <f>IF(21295.7=0, "-", 162391/21295.7)</f>
        <v>7.6255300365801544</v>
      </c>
      <c r="M2573" s="357">
        <v>13.05</v>
      </c>
      <c r="N2573" s="357">
        <f>IF(17408.44=0, "-", 114969.16/17408.44)</f>
        <v>6.6042195624651034</v>
      </c>
      <c r="O2573" s="357">
        <f>IF(620.16=0, "-", 4786.56/620.16)</f>
        <v>7.7182662538699702</v>
      </c>
      <c r="P2573" s="343"/>
      <c r="Q2573" s="343"/>
      <c r="R2573" s="343">
        <f ca="1">IF(ISERROR(VALUE(TRIM(INDIRECT(ADDRESS(ROW()-1, COLUMN(A2289)))))), INDIRECT(ADDRESS(ROW()-2, COLUMN(R2289)))+1, INDIRECT(ADDRESS(ROW()-1, COLUMN(R2289))))</f>
        <v>1</v>
      </c>
    </row>
    <row r="2574" spans="1:18" ht="36">
      <c r="A2574" s="339">
        <v>66.256</v>
      </c>
      <c r="B2574" s="334" t="s">
        <v>4589</v>
      </c>
      <c r="C2574" s="340" t="s">
        <v>4590</v>
      </c>
      <c r="D2574" s="341">
        <v>25222.43</v>
      </c>
      <c r="E2574" s="341">
        <v>3889.64</v>
      </c>
      <c r="F2574" s="341">
        <v>20588.599999999999</v>
      </c>
      <c r="G2574" s="341">
        <v>744.19</v>
      </c>
      <c r="H2574" s="342">
        <v>192537.35</v>
      </c>
      <c r="I2574" s="342">
        <f>50759.36</f>
        <v>50759.360000000001</v>
      </c>
      <c r="J2574" s="342">
        <v>136034.12</v>
      </c>
      <c r="K2574" s="342">
        <v>5743.87</v>
      </c>
      <c r="L2574" s="357">
        <f>IF(25222.43=0, "-", 192537.35/25222.43)</f>
        <v>7.6335765427835467</v>
      </c>
      <c r="M2574" s="357">
        <v>13.05</v>
      </c>
      <c r="N2574" s="357">
        <f>IF(20588.6=0, "-", 136034.12/20588.6)</f>
        <v>6.6072545000631422</v>
      </c>
      <c r="O2574" s="357">
        <f>IF(744.19=0, "-", 5743.87/744.19)</f>
        <v>7.7182843091146074</v>
      </c>
      <c r="P2574" s="343"/>
      <c r="Q2574" s="343"/>
      <c r="R2574" s="343">
        <f ca="1">IF(ISERROR(VALUE(TRIM(INDIRECT(ADDRESS(ROW()-1, COLUMN(A2289)))))), INDIRECT(ADDRESS(ROW()-2, COLUMN(R2289)))+1, INDIRECT(ADDRESS(ROW()-1, COLUMN(R2289))))</f>
        <v>1</v>
      </c>
    </row>
    <row r="2575" spans="1:18" ht="36">
      <c r="A2575" s="339">
        <v>66.257000000000005</v>
      </c>
      <c r="B2575" s="334" t="s">
        <v>4591</v>
      </c>
      <c r="C2575" s="340" t="s">
        <v>4592</v>
      </c>
      <c r="D2575" s="341">
        <v>29556.959999999999</v>
      </c>
      <c r="E2575" s="341">
        <v>4543.07</v>
      </c>
      <c r="F2575" s="341">
        <v>24145.67</v>
      </c>
      <c r="G2575" s="341">
        <v>868.22</v>
      </c>
      <c r="H2575" s="342">
        <v>225497.77</v>
      </c>
      <c r="I2575" s="342">
        <f>59286.42</f>
        <v>59286.42</v>
      </c>
      <c r="J2575" s="342">
        <v>159510.17000000001</v>
      </c>
      <c r="K2575" s="342">
        <v>6701.18</v>
      </c>
      <c r="L2575" s="357">
        <f>IF(29556.96=0, "-", 225497.77/29556.96)</f>
        <v>7.6292612636752901</v>
      </c>
      <c r="M2575" s="357">
        <v>13.05</v>
      </c>
      <c r="N2575" s="357">
        <f>IF(24145.67=0, "-", 159510.17/24145.67)</f>
        <v>6.6061604420171411</v>
      </c>
      <c r="O2575" s="357">
        <f>IF(868.22=0, "-", 6701.18/868.22)</f>
        <v>7.718297205777338</v>
      </c>
      <c r="P2575" s="343"/>
      <c r="Q2575" s="343"/>
      <c r="R2575" s="343">
        <f ca="1">IF(ISERROR(VALUE(TRIM(INDIRECT(ADDRESS(ROW()-1, COLUMN(A2289)))))), INDIRECT(ADDRESS(ROW()-2, COLUMN(R2289)))+1, INDIRECT(ADDRESS(ROW()-1, COLUMN(R2289))))</f>
        <v>1</v>
      </c>
    </row>
    <row r="2576" spans="1:18" ht="36">
      <c r="A2576" s="339">
        <v>66.257999999999996</v>
      </c>
      <c r="B2576" s="334" t="s">
        <v>4593</v>
      </c>
      <c r="C2576" s="340" t="s">
        <v>4594</v>
      </c>
      <c r="D2576" s="341">
        <v>33483.699999999997</v>
      </c>
      <c r="E2576" s="341">
        <v>5165.6099999999997</v>
      </c>
      <c r="F2576" s="341">
        <v>27325.83</v>
      </c>
      <c r="G2576" s="341">
        <v>992.26</v>
      </c>
      <c r="H2576" s="342">
        <v>255644.12</v>
      </c>
      <c r="I2576" s="342">
        <f>67410.49</f>
        <v>67410.490000000005</v>
      </c>
      <c r="J2576" s="342">
        <v>180575.13</v>
      </c>
      <c r="K2576" s="342">
        <v>7658.5</v>
      </c>
      <c r="L2576" s="357">
        <f>IF(33483.7=0, "-", 255644.12/33483.7)</f>
        <v>7.6348826443911522</v>
      </c>
      <c r="M2576" s="357">
        <v>13.05</v>
      </c>
      <c r="N2576" s="357">
        <f>IF(27325.83=0, "-", 180575.13/27325.83)</f>
        <v>6.6082212324383187</v>
      </c>
      <c r="O2576" s="357">
        <f>IF(992.26=0, "-", 7658.5/992.26)</f>
        <v>7.7182391711849716</v>
      </c>
      <c r="P2576" s="343"/>
      <c r="Q2576" s="343"/>
      <c r="R2576" s="343">
        <f ca="1">IF(ISERROR(VALUE(TRIM(INDIRECT(ADDRESS(ROW()-1, COLUMN(A2289)))))), INDIRECT(ADDRESS(ROW()-2, COLUMN(R2289)))+1, INDIRECT(ADDRESS(ROW()-1, COLUMN(R2289))))</f>
        <v>1</v>
      </c>
    </row>
    <row r="2577" spans="1:18" ht="12.75">
      <c r="A2577" s="426" t="s">
        <v>4595</v>
      </c>
      <c r="B2577" s="427"/>
      <c r="C2577" s="427"/>
      <c r="D2577" s="427"/>
      <c r="E2577" s="427"/>
      <c r="F2577" s="427"/>
      <c r="G2577" s="427"/>
      <c r="H2577" s="427"/>
      <c r="I2577" s="427"/>
      <c r="J2577" s="427"/>
      <c r="K2577" s="427"/>
      <c r="L2577" s="427"/>
      <c r="M2577" s="427"/>
      <c r="N2577" s="427"/>
      <c r="O2577" s="427"/>
      <c r="P2577" s="427"/>
      <c r="Q2577" s="427"/>
      <c r="R2577" s="427"/>
    </row>
    <row r="2578" spans="1:18" ht="36">
      <c r="A2578" s="339">
        <v>66.259</v>
      </c>
      <c r="B2578" s="334" t="s">
        <v>4596</v>
      </c>
      <c r="C2578" s="340" t="s">
        <v>4597</v>
      </c>
      <c r="D2578" s="341">
        <v>2043.56</v>
      </c>
      <c r="E2578" s="341">
        <v>313.12</v>
      </c>
      <c r="F2578" s="341">
        <v>1730.44</v>
      </c>
      <c r="G2578" s="341"/>
      <c r="H2578" s="342">
        <v>14106.26</v>
      </c>
      <c r="I2578" s="342">
        <f>4086.22</f>
        <v>4086.22</v>
      </c>
      <c r="J2578" s="342">
        <v>10020.040000000001</v>
      </c>
      <c r="K2578" s="342"/>
      <c r="L2578" s="357">
        <f>IF(2043.56=0, "-", 14106.26/2043.56)</f>
        <v>6.9027872927636089</v>
      </c>
      <c r="M2578" s="357">
        <v>13.05</v>
      </c>
      <c r="N2578" s="357">
        <f>IF(1730.44=0, "-", 10020.04/1730.44)</f>
        <v>5.7904579182173324</v>
      </c>
      <c r="O2578" s="357" t="str">
        <f t="shared" ref="O2578:O2583" si="10">IF(0=0, "-", 0/0)</f>
        <v>-</v>
      </c>
      <c r="P2578" s="343"/>
      <c r="Q2578" s="343"/>
      <c r="R2578" s="343">
        <f ca="1">IF(ISERROR(VALUE(TRIM(INDIRECT(ADDRESS(ROW()-1, COLUMN(A2289)))))), INDIRECT(ADDRESS(ROW()-2, COLUMN(R2289)))+1, INDIRECT(ADDRESS(ROW()-1, COLUMN(R2289))))</f>
        <v>2</v>
      </c>
    </row>
    <row r="2579" spans="1:18" ht="36">
      <c r="A2579" s="339">
        <v>66.260000000000005</v>
      </c>
      <c r="B2579" s="334" t="s">
        <v>4598</v>
      </c>
      <c r="C2579" s="340" t="s">
        <v>4599</v>
      </c>
      <c r="D2579" s="341">
        <v>2297.08</v>
      </c>
      <c r="E2579" s="341">
        <v>350.33</v>
      </c>
      <c r="F2579" s="341">
        <v>1946.75</v>
      </c>
      <c r="G2579" s="341"/>
      <c r="H2579" s="342">
        <v>15844.37</v>
      </c>
      <c r="I2579" s="342">
        <f>4571.81</f>
        <v>4571.8100000000004</v>
      </c>
      <c r="J2579" s="342">
        <v>11272.56</v>
      </c>
      <c r="K2579" s="342"/>
      <c r="L2579" s="357">
        <f>IF(2297.08=0, "-", 15844.37/2297.08)</f>
        <v>6.8976134919114704</v>
      </c>
      <c r="M2579" s="357">
        <v>13.05</v>
      </c>
      <c r="N2579" s="357">
        <f>IF(1946.75=0, "-", 11272.56/1946.75)</f>
        <v>5.7904507512520862</v>
      </c>
      <c r="O2579" s="357" t="str">
        <f t="shared" si="10"/>
        <v>-</v>
      </c>
      <c r="P2579" s="343"/>
      <c r="Q2579" s="343"/>
      <c r="R2579" s="343">
        <f ca="1">IF(ISERROR(VALUE(TRIM(INDIRECT(ADDRESS(ROW()-1, COLUMN(A2289)))))), INDIRECT(ADDRESS(ROW()-2, COLUMN(R2289)))+1, INDIRECT(ADDRESS(ROW()-1, COLUMN(R2289))))</f>
        <v>2</v>
      </c>
    </row>
    <row r="2580" spans="1:18" ht="36">
      <c r="A2580" s="339">
        <v>66.260999999999996</v>
      </c>
      <c r="B2580" s="334" t="s">
        <v>4600</v>
      </c>
      <c r="C2580" s="340" t="s">
        <v>4601</v>
      </c>
      <c r="D2580" s="341">
        <v>2550.59</v>
      </c>
      <c r="E2580" s="341">
        <v>387.54</v>
      </c>
      <c r="F2580" s="341">
        <v>2163.0500000000002</v>
      </c>
      <c r="G2580" s="341"/>
      <c r="H2580" s="342">
        <v>17582.45</v>
      </c>
      <c r="I2580" s="342">
        <f>5057.4</f>
        <v>5057.3999999999996</v>
      </c>
      <c r="J2580" s="342">
        <v>12525.05</v>
      </c>
      <c r="K2580" s="342"/>
      <c r="L2580" s="357">
        <f>IF(2550.59=0, "-", 17582.45/2550.59)</f>
        <v>6.8934834685308104</v>
      </c>
      <c r="M2580" s="357">
        <v>13.05</v>
      </c>
      <c r="N2580" s="357">
        <f>IF(2163.05=0, "-", 12525.05/2163.05)</f>
        <v>5.7904579182173315</v>
      </c>
      <c r="O2580" s="357" t="str">
        <f t="shared" si="10"/>
        <v>-</v>
      </c>
      <c r="P2580" s="343"/>
      <c r="Q2580" s="343"/>
      <c r="R2580" s="343">
        <f ca="1">IF(ISERROR(VALUE(TRIM(INDIRECT(ADDRESS(ROW()-1, COLUMN(A2289)))))), INDIRECT(ADDRESS(ROW()-2, COLUMN(R2289)))+1, INDIRECT(ADDRESS(ROW()-1, COLUMN(R2289))))</f>
        <v>2</v>
      </c>
    </row>
    <row r="2581" spans="1:18" ht="36">
      <c r="A2581" s="339">
        <v>66.262</v>
      </c>
      <c r="B2581" s="334" t="s">
        <v>4602</v>
      </c>
      <c r="C2581" s="340" t="s">
        <v>4603</v>
      </c>
      <c r="D2581" s="341">
        <v>2804.11</v>
      </c>
      <c r="E2581" s="341">
        <v>424.75</v>
      </c>
      <c r="F2581" s="341">
        <v>2379.36</v>
      </c>
      <c r="G2581" s="341"/>
      <c r="H2581" s="342">
        <v>19320.560000000001</v>
      </c>
      <c r="I2581" s="342">
        <f>5542.99</f>
        <v>5542.99</v>
      </c>
      <c r="J2581" s="342">
        <v>13777.57</v>
      </c>
      <c r="K2581" s="342"/>
      <c r="L2581" s="357">
        <f>IF(2804.11=0, "-", 19320.56/2804.11)</f>
        <v>6.8900863375545187</v>
      </c>
      <c r="M2581" s="357">
        <v>13.05</v>
      </c>
      <c r="N2581" s="357">
        <f>IF(2379.36=0, "-", 13777.57/2379.36)</f>
        <v>5.7904520543339384</v>
      </c>
      <c r="O2581" s="357" t="str">
        <f t="shared" si="10"/>
        <v>-</v>
      </c>
      <c r="P2581" s="343"/>
      <c r="Q2581" s="343"/>
      <c r="R2581" s="343">
        <f ca="1">IF(ISERROR(VALUE(TRIM(INDIRECT(ADDRESS(ROW()-1, COLUMN(A2289)))))), INDIRECT(ADDRESS(ROW()-2, COLUMN(R2289)))+1, INDIRECT(ADDRESS(ROW()-1, COLUMN(R2289))))</f>
        <v>2</v>
      </c>
    </row>
    <row r="2582" spans="1:18" ht="36">
      <c r="A2582" s="339">
        <v>66.263000000000005</v>
      </c>
      <c r="B2582" s="334" t="s">
        <v>4604</v>
      </c>
      <c r="C2582" s="340" t="s">
        <v>4605</v>
      </c>
      <c r="D2582" s="341">
        <v>3650.52</v>
      </c>
      <c r="E2582" s="341">
        <v>1054.8599999999999</v>
      </c>
      <c r="F2582" s="341">
        <v>2595.66</v>
      </c>
      <c r="G2582" s="341"/>
      <c r="H2582" s="342">
        <v>28795.86</v>
      </c>
      <c r="I2582" s="342">
        <f>13765.8</f>
        <v>13765.8</v>
      </c>
      <c r="J2582" s="342">
        <v>15030.06</v>
      </c>
      <c r="K2582" s="342"/>
      <c r="L2582" s="357">
        <f>IF(3650.52=0, "-", 28795.86/3650.52)</f>
        <v>7.8881529206797936</v>
      </c>
      <c r="M2582" s="357">
        <v>13.05</v>
      </c>
      <c r="N2582" s="357">
        <f>IF(2595.66=0, "-", 15030.06/2595.66)</f>
        <v>5.7904579182173324</v>
      </c>
      <c r="O2582" s="357" t="str">
        <f t="shared" si="10"/>
        <v>-</v>
      </c>
      <c r="P2582" s="343"/>
      <c r="Q2582" s="343"/>
      <c r="R2582" s="343">
        <f ca="1">IF(ISERROR(VALUE(TRIM(INDIRECT(ADDRESS(ROW()-1, COLUMN(A2289)))))), INDIRECT(ADDRESS(ROW()-2, COLUMN(R2289)))+1, INDIRECT(ADDRESS(ROW()-1, COLUMN(R2289))))</f>
        <v>2</v>
      </c>
    </row>
    <row r="2583" spans="1:18" ht="36">
      <c r="A2583" s="339">
        <v>66.263999999999996</v>
      </c>
      <c r="B2583" s="334" t="s">
        <v>4606</v>
      </c>
      <c r="C2583" s="340" t="s">
        <v>4607</v>
      </c>
      <c r="D2583" s="341">
        <v>3928.75</v>
      </c>
      <c r="E2583" s="341">
        <v>1116.78</v>
      </c>
      <c r="F2583" s="341">
        <v>2811.97</v>
      </c>
      <c r="G2583" s="341"/>
      <c r="H2583" s="342">
        <v>30856.35</v>
      </c>
      <c r="I2583" s="342">
        <f>14573.77</f>
        <v>14573.77</v>
      </c>
      <c r="J2583" s="342">
        <v>16282.58</v>
      </c>
      <c r="K2583" s="342"/>
      <c r="L2583" s="357">
        <f>IF(3928.75=0, "-", 30856.35/3928.75)</f>
        <v>7.8539866369710465</v>
      </c>
      <c r="M2583" s="357">
        <v>13.05</v>
      </c>
      <c r="N2583" s="357">
        <f>IF(2811.97=0, "-", 16282.58/2811.97)</f>
        <v>5.7904529564682417</v>
      </c>
      <c r="O2583" s="357" t="str">
        <f t="shared" si="10"/>
        <v>-</v>
      </c>
      <c r="P2583" s="343"/>
      <c r="Q2583" s="343"/>
      <c r="R2583" s="343">
        <f ca="1">IF(ISERROR(VALUE(TRIM(INDIRECT(ADDRESS(ROW()-1, COLUMN(A2289)))))), INDIRECT(ADDRESS(ROW()-2, COLUMN(R2289)))+1, INDIRECT(ADDRESS(ROW()-1, COLUMN(R2289))))</f>
        <v>2</v>
      </c>
    </row>
    <row r="2584" spans="1:18" ht="12.75">
      <c r="A2584" s="426" t="s">
        <v>4608</v>
      </c>
      <c r="B2584" s="427"/>
      <c r="C2584" s="427"/>
      <c r="D2584" s="427"/>
      <c r="E2584" s="427"/>
      <c r="F2584" s="427"/>
      <c r="G2584" s="427"/>
      <c r="H2584" s="427"/>
      <c r="I2584" s="427"/>
      <c r="J2584" s="427"/>
      <c r="K2584" s="427"/>
      <c r="L2584" s="427"/>
      <c r="M2584" s="427"/>
      <c r="N2584" s="427"/>
      <c r="O2584" s="427"/>
      <c r="P2584" s="427"/>
      <c r="Q2584" s="427"/>
      <c r="R2584" s="427"/>
    </row>
    <row r="2585" spans="1:18" ht="24">
      <c r="A2585" s="339">
        <v>66.265000000000001</v>
      </c>
      <c r="B2585" s="334" t="s">
        <v>4609</v>
      </c>
      <c r="C2585" s="340" t="s">
        <v>4610</v>
      </c>
      <c r="D2585" s="341">
        <v>160840.38</v>
      </c>
      <c r="E2585" s="341">
        <v>766.13</v>
      </c>
      <c r="F2585" s="341">
        <v>6339.47</v>
      </c>
      <c r="G2585" s="341">
        <v>153734.78</v>
      </c>
      <c r="H2585" s="342">
        <v>263978.33</v>
      </c>
      <c r="I2585" s="342">
        <f>9997.93</f>
        <v>9997.93</v>
      </c>
      <c r="J2585" s="342">
        <v>39436.199999999997</v>
      </c>
      <c r="K2585" s="342">
        <v>214544.2</v>
      </c>
      <c r="L2585" s="357">
        <f>IF(160840.38=0, "-", 263978.33/160840.38)</f>
        <v>1.6412441328477338</v>
      </c>
      <c r="M2585" s="357">
        <v>13.05</v>
      </c>
      <c r="N2585" s="357">
        <f>IF(6339.47=0, "-", 39436.2/6339.47)</f>
        <v>6.2207408505758357</v>
      </c>
      <c r="O2585" s="357">
        <f>IF(153734.78=0, "-", 214544.2/153734.78)</f>
        <v>1.3955475787586908</v>
      </c>
      <c r="P2585" s="343"/>
      <c r="Q2585" s="343"/>
      <c r="R2585" s="343">
        <f ca="1">IF(ISERROR(VALUE(TRIM(INDIRECT(ADDRESS(ROW()-1, COLUMN(A2289)))))), INDIRECT(ADDRESS(ROW()-2, COLUMN(R2289)))+1, INDIRECT(ADDRESS(ROW()-1, COLUMN(R2289))))</f>
        <v>3</v>
      </c>
    </row>
    <row r="2586" spans="1:18" ht="24">
      <c r="A2586" s="339">
        <v>66.266000000000005</v>
      </c>
      <c r="B2586" s="334" t="s">
        <v>4611</v>
      </c>
      <c r="C2586" s="340" t="s">
        <v>4612</v>
      </c>
      <c r="D2586" s="341">
        <v>215193.5</v>
      </c>
      <c r="E2586" s="341">
        <v>862.63</v>
      </c>
      <c r="F2586" s="341">
        <v>7198.25</v>
      </c>
      <c r="G2586" s="341">
        <v>207132.62</v>
      </c>
      <c r="H2586" s="342">
        <v>345670.83</v>
      </c>
      <c r="I2586" s="342">
        <f>11257.25</f>
        <v>11257.25</v>
      </c>
      <c r="J2586" s="342">
        <v>44741.72</v>
      </c>
      <c r="K2586" s="342">
        <v>289671.86</v>
      </c>
      <c r="L2586" s="357">
        <f>IF(215193.5=0, "-", 345670.83/215193.5)</f>
        <v>1.606325609277232</v>
      </c>
      <c r="M2586" s="357">
        <v>13.05</v>
      </c>
      <c r="N2586" s="357">
        <f>IF(7198.25=0, "-", 44741.72/7198.25)</f>
        <v>6.2156385232521796</v>
      </c>
      <c r="O2586" s="357">
        <f>IF(207132.62=0, "-", 289671.86/207132.62)</f>
        <v>1.3984849899547449</v>
      </c>
      <c r="P2586" s="343"/>
      <c r="Q2586" s="343"/>
      <c r="R2586" s="343">
        <f ca="1">IF(ISERROR(VALUE(TRIM(INDIRECT(ADDRESS(ROW()-1, COLUMN(A2289)))))), INDIRECT(ADDRESS(ROW()-2, COLUMN(R2289)))+1, INDIRECT(ADDRESS(ROW()-1, COLUMN(R2289))))</f>
        <v>3</v>
      </c>
    </row>
    <row r="2587" spans="1:18" ht="24">
      <c r="A2587" s="339">
        <v>66.266999999999996</v>
      </c>
      <c r="B2587" s="334" t="s">
        <v>4613</v>
      </c>
      <c r="C2587" s="340" t="s">
        <v>4614</v>
      </c>
      <c r="D2587" s="341">
        <v>246980.34</v>
      </c>
      <c r="E2587" s="341">
        <v>959.29</v>
      </c>
      <c r="F2587" s="341">
        <v>8057.03</v>
      </c>
      <c r="G2587" s="341">
        <v>237964.02</v>
      </c>
      <c r="H2587" s="342">
        <v>395932.87</v>
      </c>
      <c r="I2587" s="342">
        <f>12518.57</f>
        <v>12518.57</v>
      </c>
      <c r="J2587" s="342">
        <v>50047.26</v>
      </c>
      <c r="K2587" s="342">
        <v>333367.03999999998</v>
      </c>
      <c r="L2587" s="357">
        <f>IF(246980.34=0, "-", 395932.87/246980.34)</f>
        <v>1.6030946835687407</v>
      </c>
      <c r="M2587" s="357">
        <v>13.05</v>
      </c>
      <c r="N2587" s="357">
        <f>IF(8057.03=0, "-", 50047.26/8057.03)</f>
        <v>6.2116263685253754</v>
      </c>
      <c r="O2587" s="357">
        <f>IF(237964.02=0, "-", 333367.04/237964.02)</f>
        <v>1.4009136339182704</v>
      </c>
      <c r="P2587" s="343"/>
      <c r="Q2587" s="343"/>
      <c r="R2587" s="343">
        <f ca="1">IF(ISERROR(VALUE(TRIM(INDIRECT(ADDRESS(ROW()-1, COLUMN(A2289)))))), INDIRECT(ADDRESS(ROW()-2, COLUMN(R2289)))+1, INDIRECT(ADDRESS(ROW()-1, COLUMN(R2289))))</f>
        <v>3</v>
      </c>
    </row>
    <row r="2588" spans="1:18" ht="24">
      <c r="A2588" s="339">
        <v>66.268000000000001</v>
      </c>
      <c r="B2588" s="334" t="s">
        <v>4615</v>
      </c>
      <c r="C2588" s="340" t="s">
        <v>4616</v>
      </c>
      <c r="D2588" s="341">
        <v>341673.7</v>
      </c>
      <c r="E2588" s="341">
        <v>1055.79</v>
      </c>
      <c r="F2588" s="341">
        <v>8915.81</v>
      </c>
      <c r="G2588" s="341">
        <v>331702.09999999998</v>
      </c>
      <c r="H2588" s="342">
        <v>539634.53</v>
      </c>
      <c r="I2588" s="342">
        <f>13777.89</f>
        <v>13777.89</v>
      </c>
      <c r="J2588" s="342">
        <v>55352.78</v>
      </c>
      <c r="K2588" s="342">
        <v>470503.86</v>
      </c>
      <c r="L2588" s="357">
        <f>IF(341673.7=0, "-", 539634.53/341673.7)</f>
        <v>1.5793856243544646</v>
      </c>
      <c r="M2588" s="357">
        <v>13.05</v>
      </c>
      <c r="N2588" s="357">
        <f>IF(8915.81=0, "-", 55352.78/8915.81)</f>
        <v>6.2083848803417752</v>
      </c>
      <c r="O2588" s="357">
        <f>IF(331702.1=0, "-", 470503.86/331702.1)</f>
        <v>1.4184530637581132</v>
      </c>
      <c r="P2588" s="343"/>
      <c r="Q2588" s="343"/>
      <c r="R2588" s="343">
        <f ca="1">IF(ISERROR(VALUE(TRIM(INDIRECT(ADDRESS(ROW()-1, COLUMN(A2289)))))), INDIRECT(ADDRESS(ROW()-2, COLUMN(R2289)))+1, INDIRECT(ADDRESS(ROW()-1, COLUMN(R2289))))</f>
        <v>3</v>
      </c>
    </row>
    <row r="2589" spans="1:18" ht="24">
      <c r="A2589" s="339">
        <v>66.269000000000005</v>
      </c>
      <c r="B2589" s="334" t="s">
        <v>4617</v>
      </c>
      <c r="C2589" s="340" t="s">
        <v>4618</v>
      </c>
      <c r="D2589" s="341">
        <v>488105.51</v>
      </c>
      <c r="E2589" s="341">
        <v>1152.44</v>
      </c>
      <c r="F2589" s="341">
        <v>9774.59</v>
      </c>
      <c r="G2589" s="341">
        <v>477178.48</v>
      </c>
      <c r="H2589" s="342">
        <v>751614.91</v>
      </c>
      <c r="I2589" s="342">
        <f>15039.21</f>
        <v>15039.21</v>
      </c>
      <c r="J2589" s="342">
        <v>60658.32</v>
      </c>
      <c r="K2589" s="342">
        <v>675917.38</v>
      </c>
      <c r="L2589" s="357">
        <f>IF(488105.51=0, "-", 751614.91/488105.51)</f>
        <v>1.5398615557525668</v>
      </c>
      <c r="M2589" s="357">
        <v>13.05</v>
      </c>
      <c r="N2589" s="357">
        <f>IF(9774.59=0, "-", 60658.32/9774.59)</f>
        <v>6.2057150223180715</v>
      </c>
      <c r="O2589" s="357">
        <f>IF(477178.48=0, "-", 675917.38/477178.48)</f>
        <v>1.4164875582821757</v>
      </c>
      <c r="P2589" s="343"/>
      <c r="Q2589" s="343"/>
      <c r="R2589" s="343">
        <f ca="1">IF(ISERROR(VALUE(TRIM(INDIRECT(ADDRESS(ROW()-1, COLUMN(A2289)))))), INDIRECT(ADDRESS(ROW()-2, COLUMN(R2289)))+1, INDIRECT(ADDRESS(ROW()-1, COLUMN(R2289))))</f>
        <v>3</v>
      </c>
    </row>
    <row r="2590" spans="1:18" ht="24">
      <c r="A2590" s="339">
        <v>66.27</v>
      </c>
      <c r="B2590" s="334" t="s">
        <v>4619</v>
      </c>
      <c r="C2590" s="340" t="s">
        <v>4620</v>
      </c>
      <c r="D2590" s="341">
        <v>584035.94999999995</v>
      </c>
      <c r="E2590" s="341">
        <v>1248.94</v>
      </c>
      <c r="F2590" s="341">
        <v>10633.37</v>
      </c>
      <c r="G2590" s="341">
        <v>572153.64</v>
      </c>
      <c r="H2590" s="342">
        <v>891524.8</v>
      </c>
      <c r="I2590" s="342">
        <f>16298.53</f>
        <v>16298.53</v>
      </c>
      <c r="J2590" s="342">
        <v>65963.839999999997</v>
      </c>
      <c r="K2590" s="342">
        <v>809262.43</v>
      </c>
      <c r="L2590" s="357">
        <f>IF(584035.95=0, "-", 891524.8/584035.95)</f>
        <v>1.526489593662856</v>
      </c>
      <c r="M2590" s="357">
        <v>13.05</v>
      </c>
      <c r="N2590" s="357">
        <f>IF(10633.37=0, "-", 65963.84/10633.37)</f>
        <v>6.2034745334733952</v>
      </c>
      <c r="O2590" s="357">
        <f>IF(572153.64=0, "-", 809262.43/572153.64)</f>
        <v>1.4144145443171523</v>
      </c>
      <c r="P2590" s="343"/>
      <c r="Q2590" s="343"/>
      <c r="R2590" s="343">
        <f ca="1">IF(ISERROR(VALUE(TRIM(INDIRECT(ADDRESS(ROW()-1, COLUMN(A2289)))))), INDIRECT(ADDRESS(ROW()-2, COLUMN(R2289)))+1, INDIRECT(ADDRESS(ROW()-1, COLUMN(R2289))))</f>
        <v>3</v>
      </c>
    </row>
    <row r="2591" spans="1:18" ht="24">
      <c r="A2591" s="339">
        <v>66.271000000000001</v>
      </c>
      <c r="B2591" s="334" t="s">
        <v>4621</v>
      </c>
      <c r="C2591" s="340" t="s">
        <v>4622</v>
      </c>
      <c r="D2591" s="341">
        <v>800690.09</v>
      </c>
      <c r="E2591" s="341">
        <v>1345.6</v>
      </c>
      <c r="F2591" s="341">
        <v>11492.15</v>
      </c>
      <c r="G2591" s="341">
        <v>787852.34</v>
      </c>
      <c r="H2591" s="342">
        <v>1198772.71</v>
      </c>
      <c r="I2591" s="342">
        <f>17559.85</f>
        <v>17559.849999999999</v>
      </c>
      <c r="J2591" s="342">
        <v>71269.38</v>
      </c>
      <c r="K2591" s="342">
        <v>1109943.48</v>
      </c>
      <c r="L2591" s="357">
        <f>IF(800690.09=0, "-", 1198772.71/800690.09)</f>
        <v>1.4971744061425813</v>
      </c>
      <c r="M2591" s="357">
        <v>13.05</v>
      </c>
      <c r="N2591" s="357">
        <f>IF(11492.15=0, "-", 71269.38/11492.15)</f>
        <v>6.2015706373481034</v>
      </c>
      <c r="O2591" s="357">
        <f>IF(787852.34=0, "-", 1109943.48/787852.34)</f>
        <v>1.4088217089004267</v>
      </c>
      <c r="P2591" s="343"/>
      <c r="Q2591" s="343"/>
      <c r="R2591" s="343">
        <f ca="1">IF(ISERROR(VALUE(TRIM(INDIRECT(ADDRESS(ROW()-1, COLUMN(A2289)))))), INDIRECT(ADDRESS(ROW()-2, COLUMN(R2289)))+1, INDIRECT(ADDRESS(ROW()-1, COLUMN(R2289))))</f>
        <v>3</v>
      </c>
    </row>
    <row r="2592" spans="1:18" ht="24">
      <c r="A2592" s="339">
        <v>66.272000000000006</v>
      </c>
      <c r="B2592" s="334" t="s">
        <v>4623</v>
      </c>
      <c r="C2592" s="340" t="s">
        <v>4624</v>
      </c>
      <c r="D2592" s="341">
        <v>1099812.18</v>
      </c>
      <c r="E2592" s="341">
        <v>1442.1</v>
      </c>
      <c r="F2592" s="341">
        <v>12350.93</v>
      </c>
      <c r="G2592" s="341">
        <v>1086019.1499999999</v>
      </c>
      <c r="H2592" s="342">
        <v>1623563.33</v>
      </c>
      <c r="I2592" s="342">
        <f>18819.17</f>
        <v>18819.169999999998</v>
      </c>
      <c r="J2592" s="342">
        <v>76574.899999999994</v>
      </c>
      <c r="K2592" s="342">
        <v>1528169.26</v>
      </c>
      <c r="L2592" s="357">
        <f>IF(1099812.18=0, "-", 1623563.33/1099812.18)</f>
        <v>1.4762187212729361</v>
      </c>
      <c r="M2592" s="357">
        <v>13.05</v>
      </c>
      <c r="N2592" s="357">
        <f>IF(12350.93=0, "-", 76574.9/12350.93)</f>
        <v>6.199929883822513</v>
      </c>
      <c r="O2592" s="357">
        <f>IF(1086019.15=0, "-", 1528169.26/1086019.15)</f>
        <v>1.4071292020955617</v>
      </c>
      <c r="P2592" s="343"/>
      <c r="Q2592" s="343"/>
      <c r="R2592" s="343">
        <f ca="1">IF(ISERROR(VALUE(TRIM(INDIRECT(ADDRESS(ROW()-1, COLUMN(A2289)))))), INDIRECT(ADDRESS(ROW()-2, COLUMN(R2289)))+1, INDIRECT(ADDRESS(ROW()-1, COLUMN(R2289))))</f>
        <v>3</v>
      </c>
    </row>
    <row r="2593" spans="1:18" ht="24">
      <c r="A2593" s="339">
        <v>66.272999999999996</v>
      </c>
      <c r="B2593" s="334" t="s">
        <v>4625</v>
      </c>
      <c r="C2593" s="340" t="s">
        <v>4626</v>
      </c>
      <c r="D2593" s="341">
        <v>1510471.96</v>
      </c>
      <c r="E2593" s="341">
        <v>1538.75</v>
      </c>
      <c r="F2593" s="341">
        <v>13209.71</v>
      </c>
      <c r="G2593" s="341">
        <v>1495723.5</v>
      </c>
      <c r="H2593" s="342">
        <v>2200353.15</v>
      </c>
      <c r="I2593" s="342">
        <f>20080.49</f>
        <v>20080.490000000002</v>
      </c>
      <c r="J2593" s="342">
        <v>81880.44</v>
      </c>
      <c r="K2593" s="342">
        <v>2098392.2200000002</v>
      </c>
      <c r="L2593" s="357">
        <f>IF(1510471.96=0, "-", 2200353.15/1510471.96)</f>
        <v>1.4567322057405157</v>
      </c>
      <c r="M2593" s="357">
        <v>13.05</v>
      </c>
      <c r="N2593" s="357">
        <f>IF(13209.71=0, "-", 81880.44/13209.71)</f>
        <v>6.1985039792697956</v>
      </c>
      <c r="O2593" s="357">
        <f>IF(1495723.5=0, "-", 2098392.22/1495723.5)</f>
        <v>1.4029278940927252</v>
      </c>
      <c r="P2593" s="343"/>
      <c r="Q2593" s="343"/>
      <c r="R2593" s="343">
        <f ca="1">IF(ISERROR(VALUE(TRIM(INDIRECT(ADDRESS(ROW()-1, COLUMN(A2289)))))), INDIRECT(ADDRESS(ROW()-2, COLUMN(R2289)))+1, INDIRECT(ADDRESS(ROW()-1, COLUMN(R2289))))</f>
        <v>3</v>
      </c>
    </row>
    <row r="2594" spans="1:18" ht="24">
      <c r="A2594" s="339">
        <v>66.274000000000001</v>
      </c>
      <c r="B2594" s="334" t="s">
        <v>4627</v>
      </c>
      <c r="C2594" s="340" t="s">
        <v>4628</v>
      </c>
      <c r="D2594" s="341">
        <v>2077625.25</v>
      </c>
      <c r="E2594" s="341">
        <v>1635.25</v>
      </c>
      <c r="F2594" s="341">
        <v>14068.49</v>
      </c>
      <c r="G2594" s="341">
        <v>2061921.51</v>
      </c>
      <c r="H2594" s="342">
        <v>2994877.02</v>
      </c>
      <c r="I2594" s="342">
        <f>21339.81</f>
        <v>21339.81</v>
      </c>
      <c r="J2594" s="342">
        <v>87185.96</v>
      </c>
      <c r="K2594" s="342">
        <v>2886351.25</v>
      </c>
      <c r="L2594" s="357">
        <f>IF(2077625.25=0, "-", 2994877.02/2077625.25)</f>
        <v>1.4414904805378159</v>
      </c>
      <c r="M2594" s="357">
        <v>13.05</v>
      </c>
      <c r="N2594" s="357">
        <f>IF(14068.49=0, "-", 87185.96/14068.49)</f>
        <v>6.1972507355089288</v>
      </c>
      <c r="O2594" s="357">
        <f>IF(2061921.51=0, "-", 2886351.25/2061921.51)</f>
        <v>1.3998356562078835</v>
      </c>
      <c r="P2594" s="343"/>
      <c r="Q2594" s="343"/>
      <c r="R2594" s="343">
        <f ca="1">IF(ISERROR(VALUE(TRIM(INDIRECT(ADDRESS(ROW()-1, COLUMN(A2289)))))), INDIRECT(ADDRESS(ROW()-2, COLUMN(R2289)))+1, INDIRECT(ADDRESS(ROW()-1, COLUMN(R2289))))</f>
        <v>3</v>
      </c>
    </row>
    <row r="2595" spans="1:18" ht="24">
      <c r="A2595" s="339">
        <v>66.275000000000006</v>
      </c>
      <c r="B2595" s="334" t="s">
        <v>4629</v>
      </c>
      <c r="C2595" s="340" t="s">
        <v>4630</v>
      </c>
      <c r="D2595" s="341">
        <v>2860645.64</v>
      </c>
      <c r="E2595" s="341">
        <v>1731.9</v>
      </c>
      <c r="F2595" s="341">
        <v>14927.27</v>
      </c>
      <c r="G2595" s="341">
        <v>2843986.47</v>
      </c>
      <c r="H2595" s="342">
        <v>4088434.91</v>
      </c>
      <c r="I2595" s="342">
        <f>22601.13</f>
        <v>22601.13</v>
      </c>
      <c r="J2595" s="342">
        <v>92491.5</v>
      </c>
      <c r="K2595" s="342">
        <v>3973342.28</v>
      </c>
      <c r="L2595" s="357">
        <f>IF(2860645.64=0, "-", 4088434.91/2860645.64)</f>
        <v>1.4292000563900673</v>
      </c>
      <c r="M2595" s="357">
        <v>13.05</v>
      </c>
      <c r="N2595" s="357">
        <f>IF(14927.27=0, "-", 92491.5/14927.27)</f>
        <v>6.1961430321820394</v>
      </c>
      <c r="O2595" s="357">
        <f>IF(2843986.47=0, "-", 3973342.28/2843986.47)</f>
        <v>1.3971030881873356</v>
      </c>
      <c r="P2595" s="343"/>
      <c r="Q2595" s="343"/>
      <c r="R2595" s="343">
        <f ca="1">IF(ISERROR(VALUE(TRIM(INDIRECT(ADDRESS(ROW()-1, COLUMN(A2289)))))), INDIRECT(ADDRESS(ROW()-2, COLUMN(R2289)))+1, INDIRECT(ADDRESS(ROW()-1, COLUMN(R2289))))</f>
        <v>3</v>
      </c>
    </row>
    <row r="2596" spans="1:18" ht="24">
      <c r="A2596" s="339">
        <v>66.275999999999996</v>
      </c>
      <c r="B2596" s="334" t="s">
        <v>4631</v>
      </c>
      <c r="C2596" s="340" t="s">
        <v>4632</v>
      </c>
      <c r="D2596" s="341">
        <v>3712534.25</v>
      </c>
      <c r="E2596" s="341">
        <v>1816.82</v>
      </c>
      <c r="F2596" s="341">
        <v>15786.05</v>
      </c>
      <c r="G2596" s="341">
        <v>3694931.38</v>
      </c>
      <c r="H2596" s="342">
        <v>5277112.76</v>
      </c>
      <c r="I2596" s="342">
        <f>23709.33</f>
        <v>23709.33</v>
      </c>
      <c r="J2596" s="342">
        <v>97797.02</v>
      </c>
      <c r="K2596" s="342">
        <v>5155606.41</v>
      </c>
      <c r="L2596" s="357">
        <f>IF(3712534.25=0, "-", 5277112.76/3712534.25)</f>
        <v>1.421431400935897</v>
      </c>
      <c r="M2596" s="357">
        <v>13.05</v>
      </c>
      <c r="N2596" s="357">
        <f>IF(15786.05=0, "-", 97797.02/15786.05)</f>
        <v>6.1951545826853458</v>
      </c>
      <c r="O2596" s="357">
        <f>IF(3694931.38=0, "-", 5155606.41/3694931.38)</f>
        <v>1.395318580990806</v>
      </c>
      <c r="P2596" s="343"/>
      <c r="Q2596" s="343"/>
      <c r="R2596" s="343">
        <f ca="1">IF(ISERROR(VALUE(TRIM(INDIRECT(ADDRESS(ROW()-1, COLUMN(A2289)))))), INDIRECT(ADDRESS(ROW()-2, COLUMN(R2289)))+1, INDIRECT(ADDRESS(ROW()-1, COLUMN(R2289))))</f>
        <v>3</v>
      </c>
    </row>
    <row r="2597" spans="1:18" ht="12.75">
      <c r="A2597" s="426" t="s">
        <v>4633</v>
      </c>
      <c r="B2597" s="427"/>
      <c r="C2597" s="427"/>
      <c r="D2597" s="427"/>
      <c r="E2597" s="427"/>
      <c r="F2597" s="427"/>
      <c r="G2597" s="427"/>
      <c r="H2597" s="427"/>
      <c r="I2597" s="427"/>
      <c r="J2597" s="427"/>
      <c r="K2597" s="427"/>
      <c r="L2597" s="427"/>
      <c r="M2597" s="427"/>
      <c r="N2597" s="427"/>
      <c r="O2597" s="427"/>
      <c r="P2597" s="427"/>
      <c r="Q2597" s="427"/>
      <c r="R2597" s="427"/>
    </row>
    <row r="2598" spans="1:18" ht="24">
      <c r="A2598" s="339">
        <v>66.277000000000001</v>
      </c>
      <c r="B2598" s="334" t="s">
        <v>4634</v>
      </c>
      <c r="C2598" s="340" t="s">
        <v>4633</v>
      </c>
      <c r="D2598" s="341">
        <v>334.49</v>
      </c>
      <c r="E2598" s="341">
        <v>56.66</v>
      </c>
      <c r="F2598" s="341">
        <v>277.83</v>
      </c>
      <c r="G2598" s="341"/>
      <c r="H2598" s="342">
        <v>2577.2600000000002</v>
      </c>
      <c r="I2598" s="342">
        <f>739.47</f>
        <v>739.47</v>
      </c>
      <c r="J2598" s="342">
        <v>1837.79</v>
      </c>
      <c r="K2598" s="342"/>
      <c r="L2598" s="357">
        <f>IF(334.49=0, "-", 2577.26/334.49)</f>
        <v>7.7050434990582684</v>
      </c>
      <c r="M2598" s="357">
        <v>13.05</v>
      </c>
      <c r="N2598" s="357">
        <f>IF(277.83=0, "-", 1837.79/277.83)</f>
        <v>6.614800417521506</v>
      </c>
      <c r="O2598" s="357" t="str">
        <f>IF(0=0, "-", 0/0)</f>
        <v>-</v>
      </c>
      <c r="P2598" s="343"/>
      <c r="Q2598" s="343"/>
      <c r="R2598" s="343">
        <f ca="1">IF(ISERROR(VALUE(TRIM(INDIRECT(ADDRESS(ROW()-1, COLUMN(A2289)))))), INDIRECT(ADDRESS(ROW()-2, COLUMN(R2289)))+1, INDIRECT(ADDRESS(ROW()-1, COLUMN(R2289))))</f>
        <v>4</v>
      </c>
    </row>
    <row r="2599" spans="1:18" ht="12.75">
      <c r="A2599" s="426" t="s">
        <v>4635</v>
      </c>
      <c r="B2599" s="427"/>
      <c r="C2599" s="427"/>
      <c r="D2599" s="427"/>
      <c r="E2599" s="427"/>
      <c r="F2599" s="427"/>
      <c r="G2599" s="427"/>
      <c r="H2599" s="427"/>
      <c r="I2599" s="427"/>
      <c r="J2599" s="427"/>
      <c r="K2599" s="427"/>
      <c r="L2599" s="427"/>
      <c r="M2599" s="427"/>
      <c r="N2599" s="427"/>
      <c r="O2599" s="427"/>
      <c r="P2599" s="427"/>
      <c r="Q2599" s="427"/>
      <c r="R2599" s="427"/>
    </row>
    <row r="2600" spans="1:18" ht="12.75">
      <c r="A2600" s="426" t="s">
        <v>4636</v>
      </c>
      <c r="B2600" s="427"/>
      <c r="C2600" s="427"/>
      <c r="D2600" s="427"/>
      <c r="E2600" s="427"/>
      <c r="F2600" s="427"/>
      <c r="G2600" s="427"/>
      <c r="H2600" s="427"/>
      <c r="I2600" s="427"/>
      <c r="J2600" s="427"/>
      <c r="K2600" s="427"/>
      <c r="L2600" s="427"/>
      <c r="M2600" s="427"/>
      <c r="N2600" s="427"/>
      <c r="O2600" s="427"/>
      <c r="P2600" s="427"/>
      <c r="Q2600" s="427"/>
      <c r="R2600" s="427"/>
    </row>
    <row r="2601" spans="1:18" ht="48">
      <c r="A2601" s="339">
        <v>66.278000000000006</v>
      </c>
      <c r="B2601" s="334" t="s">
        <v>4637</v>
      </c>
      <c r="C2601" s="340" t="s">
        <v>4638</v>
      </c>
      <c r="D2601" s="341">
        <v>19998.66</v>
      </c>
      <c r="E2601" s="341">
        <v>3028.66</v>
      </c>
      <c r="F2601" s="341">
        <v>10988.67</v>
      </c>
      <c r="G2601" s="341">
        <v>5981.33</v>
      </c>
      <c r="H2601" s="342">
        <v>129071.14</v>
      </c>
      <c r="I2601" s="342">
        <f>39524.75</f>
        <v>39524.75</v>
      </c>
      <c r="J2601" s="342">
        <v>71371.83</v>
      </c>
      <c r="K2601" s="342">
        <v>18174.560000000001</v>
      </c>
      <c r="L2601" s="357">
        <f>IF(19998.66=0, "-", 129071.14/19998.66)</f>
        <v>6.4539894172909582</v>
      </c>
      <c r="M2601" s="357">
        <v>13.05</v>
      </c>
      <c r="N2601" s="357">
        <f>IF(10988.67=0, "-", 71371.83/10988.67)</f>
        <v>6.4950380710313445</v>
      </c>
      <c r="O2601" s="357">
        <f>IF(5981.33=0, "-", 18174.56/5981.33)</f>
        <v>3.0385482827397921</v>
      </c>
      <c r="P2601" s="343"/>
      <c r="Q2601" s="343"/>
      <c r="R2601" s="343">
        <f ca="1">IF(ISERROR(VALUE(TRIM(INDIRECT(ADDRESS(ROW()-1, COLUMN(A2289)))))), INDIRECT(ADDRESS(ROW()-2, COLUMN(R2289)))+1, INDIRECT(ADDRESS(ROW()-1, COLUMN(R2289))))</f>
        <v>1</v>
      </c>
    </row>
    <row r="2602" spans="1:18" ht="48">
      <c r="A2602" s="339">
        <v>66.278999999999996</v>
      </c>
      <c r="B2602" s="334" t="s">
        <v>4639</v>
      </c>
      <c r="C2602" s="340" t="s">
        <v>4640</v>
      </c>
      <c r="D2602" s="341">
        <v>23673.34</v>
      </c>
      <c r="E2602" s="341">
        <v>3166.35</v>
      </c>
      <c r="F2602" s="341">
        <v>12010.05</v>
      </c>
      <c r="G2602" s="341">
        <v>8496.94</v>
      </c>
      <c r="H2602" s="342">
        <v>142830.39000000001</v>
      </c>
      <c r="I2602" s="342">
        <f>41321.63</f>
        <v>41321.629999999997</v>
      </c>
      <c r="J2602" s="342">
        <v>76461.39</v>
      </c>
      <c r="K2602" s="342">
        <v>25047.37</v>
      </c>
      <c r="L2602" s="357">
        <f>IF(23673.34=0, "-", 142830.39/23673.34)</f>
        <v>6.0333856566078135</v>
      </c>
      <c r="M2602" s="357">
        <v>13.05</v>
      </c>
      <c r="N2602" s="357">
        <f>IF(12010.05=0, "-", 76461.39/12010.05)</f>
        <v>6.3664505976244898</v>
      </c>
      <c r="O2602" s="357">
        <f>IF(8496.94=0, "-", 25047.37/8496.94)</f>
        <v>2.9478106235891977</v>
      </c>
      <c r="P2602" s="343"/>
      <c r="Q2602" s="343"/>
      <c r="R2602" s="343">
        <f ca="1">IF(ISERROR(VALUE(TRIM(INDIRECT(ADDRESS(ROW()-1, COLUMN(A2289)))))), INDIRECT(ADDRESS(ROW()-2, COLUMN(R2289)))+1, INDIRECT(ADDRESS(ROW()-1, COLUMN(R2289))))</f>
        <v>1</v>
      </c>
    </row>
    <row r="2603" spans="1:18" ht="48">
      <c r="A2603" s="339">
        <v>66.28</v>
      </c>
      <c r="B2603" s="334" t="s">
        <v>4641</v>
      </c>
      <c r="C2603" s="340" t="s">
        <v>4642</v>
      </c>
      <c r="D2603" s="341">
        <v>34229.17</v>
      </c>
      <c r="E2603" s="341">
        <v>3441.73</v>
      </c>
      <c r="F2603" s="341">
        <v>14052.81</v>
      </c>
      <c r="G2603" s="341">
        <v>16734.63</v>
      </c>
      <c r="H2603" s="342">
        <v>179117.73</v>
      </c>
      <c r="I2603" s="342">
        <f>44915.38</f>
        <v>44915.38</v>
      </c>
      <c r="J2603" s="342">
        <v>86640.51</v>
      </c>
      <c r="K2603" s="342">
        <v>47561.84</v>
      </c>
      <c r="L2603" s="357">
        <f>IF(34229.17=0, "-", 179117.73/34229.17)</f>
        <v>5.2328972627732435</v>
      </c>
      <c r="M2603" s="357">
        <v>13.05</v>
      </c>
      <c r="N2603" s="357">
        <f>IF(14052.81=0, "-", 86640.51/14052.81)</f>
        <v>6.1653512713827343</v>
      </c>
      <c r="O2603" s="357">
        <f>IF(16734.63=0, "-", 47561.84/16734.63)</f>
        <v>2.8421207998025646</v>
      </c>
      <c r="P2603" s="343"/>
      <c r="Q2603" s="343"/>
      <c r="R2603" s="343">
        <f ca="1">IF(ISERROR(VALUE(TRIM(INDIRECT(ADDRESS(ROW()-1, COLUMN(A2289)))))), INDIRECT(ADDRESS(ROW()-2, COLUMN(R2289)))+1, INDIRECT(ADDRESS(ROW()-1, COLUMN(R2289))))</f>
        <v>1</v>
      </c>
    </row>
    <row r="2604" spans="1:18" ht="48">
      <c r="A2604" s="339">
        <v>66.281000000000006</v>
      </c>
      <c r="B2604" s="334" t="s">
        <v>4643</v>
      </c>
      <c r="C2604" s="340" t="s">
        <v>4644</v>
      </c>
      <c r="D2604" s="341">
        <v>39006.79</v>
      </c>
      <c r="E2604" s="341">
        <v>3304.04</v>
      </c>
      <c r="F2604" s="341">
        <v>13031.43</v>
      </c>
      <c r="G2604" s="341">
        <v>22671.32</v>
      </c>
      <c r="H2604" s="342">
        <v>188467.42</v>
      </c>
      <c r="I2604" s="342">
        <f>43118.5</f>
        <v>43118.5</v>
      </c>
      <c r="J2604" s="342">
        <v>81550.95</v>
      </c>
      <c r="K2604" s="342">
        <v>63797.97</v>
      </c>
      <c r="L2604" s="357">
        <f>IF(39006.79=0, "-", 188467.42/39006.79)</f>
        <v>4.8316567448898002</v>
      </c>
      <c r="M2604" s="357">
        <v>13.05</v>
      </c>
      <c r="N2604" s="357">
        <f>IF(13031.43=0, "-", 81550.95/13031.43)</f>
        <v>6.2580200331045788</v>
      </c>
      <c r="O2604" s="357">
        <f>IF(22671.32=0, "-", 63797.97/22671.32)</f>
        <v>2.814038617954314</v>
      </c>
      <c r="P2604" s="343"/>
      <c r="Q2604" s="343"/>
      <c r="R2604" s="343">
        <f ca="1">IF(ISERROR(VALUE(TRIM(INDIRECT(ADDRESS(ROW()-1, COLUMN(A2289)))))), INDIRECT(ADDRESS(ROW()-2, COLUMN(R2289)))+1, INDIRECT(ADDRESS(ROW()-1, COLUMN(R2289))))</f>
        <v>1</v>
      </c>
    </row>
    <row r="2605" spans="1:18" ht="48">
      <c r="A2605" s="339">
        <v>66.281999999999996</v>
      </c>
      <c r="B2605" s="334" t="s">
        <v>4645</v>
      </c>
      <c r="C2605" s="340" t="s">
        <v>4646</v>
      </c>
      <c r="D2605" s="341">
        <v>49037.56</v>
      </c>
      <c r="E2605" s="341">
        <v>3917.25</v>
      </c>
      <c r="F2605" s="341">
        <v>16426.89</v>
      </c>
      <c r="G2605" s="341">
        <v>28693.42</v>
      </c>
      <c r="H2605" s="342">
        <v>230759.73</v>
      </c>
      <c r="I2605" s="342">
        <f>51120.99</f>
        <v>51120.99</v>
      </c>
      <c r="J2605" s="342">
        <v>99398.79</v>
      </c>
      <c r="K2605" s="342">
        <v>80239.95</v>
      </c>
      <c r="L2605" s="357">
        <f>IF(49037.56=0, "-", 230759.73/49037.56)</f>
        <v>4.7057751242109118</v>
      </c>
      <c r="M2605" s="357">
        <v>13.05</v>
      </c>
      <c r="N2605" s="357">
        <f>IF(16426.89=0, "-", 99398.79/16426.89)</f>
        <v>6.0509804351280128</v>
      </c>
      <c r="O2605" s="357">
        <f>IF(28693.42=0, "-", 80239.95/28693.42)</f>
        <v>2.796458212370641</v>
      </c>
      <c r="P2605" s="343"/>
      <c r="Q2605" s="343"/>
      <c r="R2605" s="343">
        <f ca="1">IF(ISERROR(VALUE(TRIM(INDIRECT(ADDRESS(ROW()-1, COLUMN(A2289)))))), INDIRECT(ADDRESS(ROW()-2, COLUMN(R2289)))+1, INDIRECT(ADDRESS(ROW()-1, COLUMN(R2289))))</f>
        <v>1</v>
      </c>
    </row>
    <row r="2606" spans="1:18" ht="48">
      <c r="A2606" s="339">
        <v>66.283000000000001</v>
      </c>
      <c r="B2606" s="334" t="s">
        <v>4647</v>
      </c>
      <c r="C2606" s="340" t="s">
        <v>4648</v>
      </c>
      <c r="D2606" s="341">
        <v>52630.69</v>
      </c>
      <c r="E2606" s="341">
        <v>3641.87</v>
      </c>
      <c r="F2606" s="341">
        <v>14384.13</v>
      </c>
      <c r="G2606" s="341">
        <v>34604.69</v>
      </c>
      <c r="H2606" s="342">
        <v>233171.65</v>
      </c>
      <c r="I2606" s="342">
        <f>47527.23</f>
        <v>47527.23</v>
      </c>
      <c r="J2606" s="342">
        <v>89219.67</v>
      </c>
      <c r="K2606" s="342">
        <v>96424.75</v>
      </c>
      <c r="L2606" s="357">
        <f>IF(52630.69=0, "-", 233171.65/52630.69)</f>
        <v>4.4303361783780524</v>
      </c>
      <c r="M2606" s="357">
        <v>13.05</v>
      </c>
      <c r="N2606" s="357">
        <f>IF(14384.13=0, "-", 89219.67/14384.13)</f>
        <v>6.2026462497210471</v>
      </c>
      <c r="O2606" s="357">
        <f>IF(34604.69=0, "-", 96424.75/34604.69)</f>
        <v>2.7864647826638524</v>
      </c>
      <c r="P2606" s="343"/>
      <c r="Q2606" s="343"/>
      <c r="R2606" s="343">
        <f ca="1">IF(ISERROR(VALUE(TRIM(INDIRECT(ADDRESS(ROW()-1, COLUMN(A2289)))))), INDIRECT(ADDRESS(ROW()-2, COLUMN(R2289)))+1, INDIRECT(ADDRESS(ROW()-1, COLUMN(R2289))))</f>
        <v>1</v>
      </c>
    </row>
    <row r="2607" spans="1:18" ht="48">
      <c r="A2607" s="339">
        <v>66.284000000000006</v>
      </c>
      <c r="B2607" s="334" t="s">
        <v>4649</v>
      </c>
      <c r="C2607" s="340" t="s">
        <v>4650</v>
      </c>
      <c r="D2607" s="341">
        <v>70013.820000000007</v>
      </c>
      <c r="E2607" s="341">
        <v>4192.62</v>
      </c>
      <c r="F2607" s="341">
        <v>22000.05</v>
      </c>
      <c r="G2607" s="341">
        <v>43821.15</v>
      </c>
      <c r="H2607" s="342">
        <v>297727.09999999998</v>
      </c>
      <c r="I2607" s="342">
        <f>54714.74</f>
        <v>54714.74</v>
      </c>
      <c r="J2607" s="342">
        <v>121503.51</v>
      </c>
      <c r="K2607" s="342">
        <v>121508.85</v>
      </c>
      <c r="L2607" s="357">
        <f>IF(70013.82=0, "-", 297727.1/70013.82)</f>
        <v>4.2524047395214248</v>
      </c>
      <c r="M2607" s="357">
        <v>13.05</v>
      </c>
      <c r="N2607" s="357">
        <f>IF(22000.05=0, "-", 121503.51/22000.05)</f>
        <v>5.5228742661948491</v>
      </c>
      <c r="O2607" s="357">
        <f>IF(43821.15=0, "-", 121508.85/43821.15)</f>
        <v>2.7728357197380715</v>
      </c>
      <c r="P2607" s="343"/>
      <c r="Q2607" s="343"/>
      <c r="R2607" s="343">
        <f ca="1">IF(ISERROR(VALUE(TRIM(INDIRECT(ADDRESS(ROW()-1, COLUMN(A2289)))))), INDIRECT(ADDRESS(ROW()-2, COLUMN(R2289)))+1, INDIRECT(ADDRESS(ROW()-1, COLUMN(R2289))))</f>
        <v>1</v>
      </c>
    </row>
    <row r="2608" spans="1:18" ht="48">
      <c r="A2608" s="339">
        <v>66.284999999999997</v>
      </c>
      <c r="B2608" s="334" t="s">
        <v>4651</v>
      </c>
      <c r="C2608" s="340" t="s">
        <v>4652</v>
      </c>
      <c r="D2608" s="341">
        <v>67948.539999999994</v>
      </c>
      <c r="E2608" s="341">
        <v>3917.25</v>
      </c>
      <c r="F2608" s="341">
        <v>19368.89</v>
      </c>
      <c r="G2608" s="341">
        <v>44662.400000000001</v>
      </c>
      <c r="H2608" s="342">
        <v>283587.07</v>
      </c>
      <c r="I2608" s="342">
        <f>51120.99</f>
        <v>51120.99</v>
      </c>
      <c r="J2608" s="342">
        <v>109336.79</v>
      </c>
      <c r="K2608" s="342">
        <v>123129.29</v>
      </c>
      <c r="L2608" s="357">
        <f>IF(67948.54=0, "-", 283587.07/67948.54)</f>
        <v>4.1735564884837855</v>
      </c>
      <c r="M2608" s="357">
        <v>13.05</v>
      </c>
      <c r="N2608" s="357">
        <f>IF(19368.89=0, "-", 109336.79/19368.89)</f>
        <v>5.6449693296828052</v>
      </c>
      <c r="O2608" s="357">
        <f>IF(44662.4=0, "-", 123129.29/44662.4)</f>
        <v>2.7568892401662244</v>
      </c>
      <c r="P2608" s="343"/>
      <c r="Q2608" s="343"/>
      <c r="R2608" s="343">
        <f ca="1">IF(ISERROR(VALUE(TRIM(INDIRECT(ADDRESS(ROW()-1, COLUMN(A2289)))))), INDIRECT(ADDRESS(ROW()-2, COLUMN(R2289)))+1, INDIRECT(ADDRESS(ROW()-1, COLUMN(R2289))))</f>
        <v>1</v>
      </c>
    </row>
    <row r="2609" spans="1:18" ht="48">
      <c r="A2609" s="339">
        <v>66.286000000000001</v>
      </c>
      <c r="B2609" s="334" t="s">
        <v>4653</v>
      </c>
      <c r="C2609" s="340" t="s">
        <v>4654</v>
      </c>
      <c r="D2609" s="341">
        <v>99213.38</v>
      </c>
      <c r="E2609" s="341">
        <v>4605.1899999999996</v>
      </c>
      <c r="F2609" s="341">
        <v>26310.68</v>
      </c>
      <c r="G2609" s="341">
        <v>68297.509999999995</v>
      </c>
      <c r="H2609" s="342">
        <v>390083.87</v>
      </c>
      <c r="I2609" s="342">
        <f>60098.83</f>
        <v>60098.83</v>
      </c>
      <c r="J2609" s="342">
        <v>142629.48000000001</v>
      </c>
      <c r="K2609" s="342">
        <v>187355.56</v>
      </c>
      <c r="L2609" s="357">
        <f>IF(99213.38=0, "-", 390083.87/99213.38)</f>
        <v>3.9317667637167486</v>
      </c>
      <c r="M2609" s="357">
        <v>13.05</v>
      </c>
      <c r="N2609" s="357">
        <f>IF(26310.68=0, "-", 142629.48/26310.68)</f>
        <v>5.420972776074203</v>
      </c>
      <c r="O2609" s="357">
        <f>IF(68297.51=0, "-", 187355.56/68297.51)</f>
        <v>2.7432268028512317</v>
      </c>
      <c r="P2609" s="343"/>
      <c r="Q2609" s="343"/>
      <c r="R2609" s="343">
        <f ca="1">IF(ISERROR(VALUE(TRIM(INDIRECT(ADDRESS(ROW()-1, COLUMN(A2289)))))), INDIRECT(ADDRESS(ROW()-2, COLUMN(R2289)))+1, INDIRECT(ADDRESS(ROW()-1, COLUMN(R2289))))</f>
        <v>1</v>
      </c>
    </row>
    <row r="2610" spans="1:18" ht="48">
      <c r="A2610" s="339">
        <v>66.287000000000006</v>
      </c>
      <c r="B2610" s="334" t="s">
        <v>4655</v>
      </c>
      <c r="C2610" s="340" t="s">
        <v>4656</v>
      </c>
      <c r="D2610" s="341">
        <v>93330</v>
      </c>
      <c r="E2610" s="341">
        <v>4192.12</v>
      </c>
      <c r="F2610" s="341">
        <v>22363.94</v>
      </c>
      <c r="G2610" s="341">
        <v>66773.94</v>
      </c>
      <c r="H2610" s="342">
        <v>363363.77</v>
      </c>
      <c r="I2610" s="342">
        <f>54708.2</f>
        <v>54708.2</v>
      </c>
      <c r="J2610" s="342">
        <v>124379.4</v>
      </c>
      <c r="K2610" s="342">
        <v>184276.17</v>
      </c>
      <c r="L2610" s="357">
        <f>IF(93330=0, "-", 363363.77/93330)</f>
        <v>3.8933222972249011</v>
      </c>
      <c r="M2610" s="357">
        <v>13.05</v>
      </c>
      <c r="N2610" s="357">
        <f>IF(22363.94=0, "-", 124379.4/22363.94)</f>
        <v>5.5616049765828386</v>
      </c>
      <c r="O2610" s="357">
        <f>IF(66773.94=0, "-", 184276.17/66773.94)</f>
        <v>2.7597019136507446</v>
      </c>
      <c r="P2610" s="343"/>
      <c r="Q2610" s="343"/>
      <c r="R2610" s="343">
        <f ca="1">IF(ISERROR(VALUE(TRIM(INDIRECT(ADDRESS(ROW()-1, COLUMN(A2289)))))), INDIRECT(ADDRESS(ROW()-2, COLUMN(R2289)))+1, INDIRECT(ADDRESS(ROW()-1, COLUMN(R2289))))</f>
        <v>1</v>
      </c>
    </row>
    <row r="2611" spans="1:18" ht="48">
      <c r="A2611" s="339">
        <v>66.287999999999997</v>
      </c>
      <c r="B2611" s="334" t="s">
        <v>4657</v>
      </c>
      <c r="C2611" s="340" t="s">
        <v>4658</v>
      </c>
      <c r="D2611" s="341">
        <v>126800.09</v>
      </c>
      <c r="E2611" s="341">
        <v>6009.29</v>
      </c>
      <c r="F2611" s="341">
        <v>36159.42</v>
      </c>
      <c r="G2611" s="341">
        <v>84631.38</v>
      </c>
      <c r="H2611" s="342">
        <v>494756.91</v>
      </c>
      <c r="I2611" s="342">
        <f>78422.72</f>
        <v>78422.720000000001</v>
      </c>
      <c r="J2611" s="342">
        <v>183407.42</v>
      </c>
      <c r="K2611" s="342">
        <v>232926.77</v>
      </c>
      <c r="L2611" s="357">
        <f>IF(126800.09=0, "-", 494756.91/126800.09)</f>
        <v>3.9018656059313521</v>
      </c>
      <c r="M2611" s="357">
        <v>13.05</v>
      </c>
      <c r="N2611" s="357">
        <f>IF(36159.42=0, "-", 183407.42/36159.42)</f>
        <v>5.0721892109995137</v>
      </c>
      <c r="O2611" s="357">
        <f>IF(84631.38=0, "-", 232926.77/84631.38)</f>
        <v>2.7522506427285007</v>
      </c>
      <c r="P2611" s="343"/>
      <c r="Q2611" s="343"/>
      <c r="R2611" s="343">
        <f ca="1">IF(ISERROR(VALUE(TRIM(INDIRECT(ADDRESS(ROW()-1, COLUMN(A2289)))))), INDIRECT(ADDRESS(ROW()-2, COLUMN(R2289)))+1, INDIRECT(ADDRESS(ROW()-1, COLUMN(R2289))))</f>
        <v>1</v>
      </c>
    </row>
    <row r="2612" spans="1:18" ht="48">
      <c r="A2612" s="339">
        <v>66.289000000000001</v>
      </c>
      <c r="B2612" s="334" t="s">
        <v>4659</v>
      </c>
      <c r="C2612" s="340" t="s">
        <v>4660</v>
      </c>
      <c r="D2612" s="341">
        <v>123794.02</v>
      </c>
      <c r="E2612" s="341">
        <v>5592.84</v>
      </c>
      <c r="F2612" s="341">
        <v>31683.54</v>
      </c>
      <c r="G2612" s="341">
        <v>86517.64</v>
      </c>
      <c r="H2612" s="342">
        <v>472927.38</v>
      </c>
      <c r="I2612" s="342">
        <f>72987.9</f>
        <v>72987.899999999994</v>
      </c>
      <c r="J2612" s="342">
        <v>163363.28</v>
      </c>
      <c r="K2612" s="342">
        <v>236576.2</v>
      </c>
      <c r="L2612" s="357">
        <f>IF(123794.02=0, "-", 472927.38/123794.02)</f>
        <v>3.8202764560032865</v>
      </c>
      <c r="M2612" s="357">
        <v>13.05</v>
      </c>
      <c r="N2612" s="357">
        <f>IF(31683.54=0, "-", 163363.28/31683.54)</f>
        <v>5.1560930375835525</v>
      </c>
      <c r="O2612" s="357">
        <f>IF(86517.64=0, "-", 236576.2/86517.64)</f>
        <v>2.7344273375926575</v>
      </c>
      <c r="P2612" s="343"/>
      <c r="Q2612" s="343"/>
      <c r="R2612" s="343">
        <f ca="1">IF(ISERROR(VALUE(TRIM(INDIRECT(ADDRESS(ROW()-1, COLUMN(A2289)))))), INDIRECT(ADDRESS(ROW()-2, COLUMN(R2289)))+1, INDIRECT(ADDRESS(ROW()-1, COLUMN(R2289))))</f>
        <v>1</v>
      </c>
    </row>
    <row r="2613" spans="1:18" ht="48">
      <c r="A2613" s="339">
        <v>66.290000000000006</v>
      </c>
      <c r="B2613" s="334" t="s">
        <v>4661</v>
      </c>
      <c r="C2613" s="340" t="s">
        <v>4662</v>
      </c>
      <c r="D2613" s="341">
        <v>149643.71</v>
      </c>
      <c r="E2613" s="341">
        <v>6288.56</v>
      </c>
      <c r="F2613" s="341">
        <v>39134.43</v>
      </c>
      <c r="G2613" s="341">
        <v>104220.72</v>
      </c>
      <c r="H2613" s="342">
        <v>565478.44999999995</v>
      </c>
      <c r="I2613" s="342">
        <f>82067.2</f>
        <v>82067.199999999997</v>
      </c>
      <c r="J2613" s="342">
        <v>196944.36</v>
      </c>
      <c r="K2613" s="342">
        <v>286466.89</v>
      </c>
      <c r="L2613" s="357">
        <f>IF(149643.71=0, "-", 565478.45/149643.71)</f>
        <v>3.7788320671814404</v>
      </c>
      <c r="M2613" s="357">
        <v>13.05</v>
      </c>
      <c r="N2613" s="357">
        <f>IF(39134.43=0, "-", 196944.36/39134.43)</f>
        <v>5.0325087141936136</v>
      </c>
      <c r="O2613" s="357">
        <f>IF(104220.72=0, "-", 286466.89/104220.72)</f>
        <v>2.7486558335041247</v>
      </c>
      <c r="P2613" s="343"/>
      <c r="Q2613" s="343"/>
      <c r="R2613" s="343">
        <f ca="1">IF(ISERROR(VALUE(TRIM(INDIRECT(ADDRESS(ROW()-1, COLUMN(A2289)))))), INDIRECT(ADDRESS(ROW()-2, COLUMN(R2289)))+1, INDIRECT(ADDRESS(ROW()-1, COLUMN(R2289))))</f>
        <v>1</v>
      </c>
    </row>
    <row r="2614" spans="1:18" ht="48">
      <c r="A2614" s="339">
        <v>66.290999999999997</v>
      </c>
      <c r="B2614" s="334" t="s">
        <v>4663</v>
      </c>
      <c r="C2614" s="340" t="s">
        <v>4664</v>
      </c>
      <c r="D2614" s="341">
        <v>146312.26</v>
      </c>
      <c r="E2614" s="341">
        <v>6016.57</v>
      </c>
      <c r="F2614" s="341">
        <v>36197</v>
      </c>
      <c r="G2614" s="341">
        <v>104098.69</v>
      </c>
      <c r="H2614" s="342">
        <v>548438.32999999996</v>
      </c>
      <c r="I2614" s="342">
        <f>78517.63</f>
        <v>78517.63</v>
      </c>
      <c r="J2614" s="342">
        <v>183749.8</v>
      </c>
      <c r="K2614" s="342">
        <v>286170.90000000002</v>
      </c>
      <c r="L2614" s="357">
        <f>IF(146312.26=0, "-", 548438.33/146312.26)</f>
        <v>3.7484099418599639</v>
      </c>
      <c r="M2614" s="357">
        <v>13.05</v>
      </c>
      <c r="N2614" s="357">
        <f>IF(36197=0, "-", 183749.8/36197)</f>
        <v>5.0763820206094428</v>
      </c>
      <c r="O2614" s="357">
        <f>IF(104098.69=0, "-", 286170.9/104098.69)</f>
        <v>2.7490345939992138</v>
      </c>
      <c r="P2614" s="343"/>
      <c r="Q2614" s="343"/>
      <c r="R2614" s="343">
        <f ca="1">IF(ISERROR(VALUE(TRIM(INDIRECT(ADDRESS(ROW()-1, COLUMN(A2289)))))), INDIRECT(ADDRESS(ROW()-2, COLUMN(R2289)))+1, INDIRECT(ADDRESS(ROW()-1, COLUMN(R2289))))</f>
        <v>1</v>
      </c>
    </row>
    <row r="2615" spans="1:18" ht="48">
      <c r="A2615" s="339">
        <v>66.292000000000002</v>
      </c>
      <c r="B2615" s="334" t="s">
        <v>4665</v>
      </c>
      <c r="C2615" s="340" t="s">
        <v>4666</v>
      </c>
      <c r="D2615" s="341">
        <v>181353.19</v>
      </c>
      <c r="E2615" s="341">
        <v>6839.32</v>
      </c>
      <c r="F2615" s="341">
        <v>45065.07</v>
      </c>
      <c r="G2615" s="341">
        <v>129448.8</v>
      </c>
      <c r="H2615" s="342">
        <v>668174.96</v>
      </c>
      <c r="I2615" s="342">
        <f>89254.71</f>
        <v>89254.71</v>
      </c>
      <c r="J2615" s="342">
        <v>223535.32</v>
      </c>
      <c r="K2615" s="342">
        <v>355384.93</v>
      </c>
      <c r="L2615" s="357">
        <f>IF(181353.19=0, "-", 668174.96/181353.19)</f>
        <v>3.6843849286577202</v>
      </c>
      <c r="M2615" s="357">
        <v>13.05</v>
      </c>
      <c r="N2615" s="357">
        <f>IF(45065.07=0, "-", 223535.32/45065.07)</f>
        <v>4.9602789921329311</v>
      </c>
      <c r="O2615" s="357">
        <f>IF(129448.8=0, "-", 355384.93/129448.8)</f>
        <v>2.7453706021222288</v>
      </c>
      <c r="P2615" s="343"/>
      <c r="Q2615" s="343"/>
      <c r="R2615" s="343">
        <f ca="1">IF(ISERROR(VALUE(TRIM(INDIRECT(ADDRESS(ROW()-1, COLUMN(A2289)))))), INDIRECT(ADDRESS(ROW()-2, COLUMN(R2289)))+1, INDIRECT(ADDRESS(ROW()-1, COLUMN(R2289))))</f>
        <v>1</v>
      </c>
    </row>
    <row r="2616" spans="1:18" ht="12.75">
      <c r="A2616" s="426" t="s">
        <v>4667</v>
      </c>
      <c r="B2616" s="427"/>
      <c r="C2616" s="427"/>
      <c r="D2616" s="427"/>
      <c r="E2616" s="427"/>
      <c r="F2616" s="427"/>
      <c r="G2616" s="427"/>
      <c r="H2616" s="427"/>
      <c r="I2616" s="427"/>
      <c r="J2616" s="427"/>
      <c r="K2616" s="427"/>
      <c r="L2616" s="427"/>
      <c r="M2616" s="427"/>
      <c r="N2616" s="427"/>
      <c r="O2616" s="427"/>
      <c r="P2616" s="427"/>
      <c r="Q2616" s="427"/>
      <c r="R2616" s="427"/>
    </row>
    <row r="2617" spans="1:18" ht="48">
      <c r="A2617" s="339">
        <v>66.293000000000006</v>
      </c>
      <c r="B2617" s="334" t="s">
        <v>4668</v>
      </c>
      <c r="C2617" s="340" t="s">
        <v>4669</v>
      </c>
      <c r="D2617" s="341">
        <v>13832.52</v>
      </c>
      <c r="E2617" s="341">
        <v>2292.81</v>
      </c>
      <c r="F2617" s="341">
        <v>7098.63</v>
      </c>
      <c r="G2617" s="341">
        <v>4441.08</v>
      </c>
      <c r="H2617" s="342">
        <v>97092.35</v>
      </c>
      <c r="I2617" s="342">
        <f>29921.77</f>
        <v>29921.77</v>
      </c>
      <c r="J2617" s="342">
        <v>53071.77</v>
      </c>
      <c r="K2617" s="342">
        <v>14098.81</v>
      </c>
      <c r="L2617" s="357">
        <f>IF(13832.52=0, "-", 97092.35/13832.52)</f>
        <v>7.0191367878015001</v>
      </c>
      <c r="M2617" s="357">
        <v>13.05</v>
      </c>
      <c r="N2617" s="357">
        <f>IF(7098.63=0, "-", 53071.77/7098.63)</f>
        <v>7.4763398007784598</v>
      </c>
      <c r="O2617" s="357">
        <f>IF(4441.08=0, "-", 14098.81/4441.08)</f>
        <v>3.1746354490349193</v>
      </c>
      <c r="P2617" s="343"/>
      <c r="Q2617" s="343"/>
      <c r="R2617" s="343">
        <f ca="1">IF(ISERROR(VALUE(TRIM(INDIRECT(ADDRESS(ROW()-1, COLUMN(A2289)))))), INDIRECT(ADDRESS(ROW()-2, COLUMN(R2289)))+1, INDIRECT(ADDRESS(ROW()-1, COLUMN(R2289))))</f>
        <v>2</v>
      </c>
    </row>
    <row r="2618" spans="1:18" ht="48">
      <c r="A2618" s="339">
        <v>66.293999999999997</v>
      </c>
      <c r="B2618" s="334" t="s">
        <v>4670</v>
      </c>
      <c r="C2618" s="340" t="s">
        <v>4671</v>
      </c>
      <c r="D2618" s="341">
        <v>18136.03</v>
      </c>
      <c r="E2618" s="341">
        <v>2347.4899999999998</v>
      </c>
      <c r="F2618" s="341">
        <v>7363.39</v>
      </c>
      <c r="G2618" s="341">
        <v>8425.15</v>
      </c>
      <c r="H2618" s="342">
        <v>110346.17</v>
      </c>
      <c r="I2618" s="342">
        <f>30635.28</f>
        <v>30635.279999999999</v>
      </c>
      <c r="J2618" s="342">
        <v>54717.64</v>
      </c>
      <c r="K2618" s="342">
        <v>24993.25</v>
      </c>
      <c r="L2618" s="357">
        <f>IF(18136.03=0, "-", 110346.17/18136.03)</f>
        <v>6.0843619027979114</v>
      </c>
      <c r="M2618" s="357">
        <v>13.05</v>
      </c>
      <c r="N2618" s="357">
        <f>IF(7363.39=0, "-", 54717.64/7363.39)</f>
        <v>7.431039236004068</v>
      </c>
      <c r="O2618" s="357">
        <f>IF(8425.15=0, "-", 24993.25/8425.15)</f>
        <v>2.9665050473878805</v>
      </c>
      <c r="P2618" s="343"/>
      <c r="Q2618" s="343"/>
      <c r="R2618" s="343">
        <f ca="1">IF(ISERROR(VALUE(TRIM(INDIRECT(ADDRESS(ROW()-1, COLUMN(A2289)))))), INDIRECT(ADDRESS(ROW()-2, COLUMN(R2289)))+1, INDIRECT(ADDRESS(ROW()-1, COLUMN(R2289))))</f>
        <v>2</v>
      </c>
    </row>
    <row r="2619" spans="1:18" ht="48">
      <c r="A2619" s="339">
        <v>66.295000000000002</v>
      </c>
      <c r="B2619" s="334" t="s">
        <v>4672</v>
      </c>
      <c r="C2619" s="340" t="s">
        <v>4673</v>
      </c>
      <c r="D2619" s="341">
        <v>26647.71</v>
      </c>
      <c r="E2619" s="341">
        <v>2401.91</v>
      </c>
      <c r="F2619" s="341">
        <v>7628.15</v>
      </c>
      <c r="G2619" s="341">
        <v>16617.650000000001</v>
      </c>
      <c r="H2619" s="342">
        <v>135105.5</v>
      </c>
      <c r="I2619" s="342">
        <f>31345.52</f>
        <v>31345.52</v>
      </c>
      <c r="J2619" s="342">
        <v>56363.51</v>
      </c>
      <c r="K2619" s="342">
        <v>47396.47</v>
      </c>
      <c r="L2619" s="357">
        <f>IF(26647.71=0, "-", 135105.5/26647.71)</f>
        <v>5.0700604292076132</v>
      </c>
      <c r="M2619" s="357">
        <v>13.05</v>
      </c>
      <c r="N2619" s="357">
        <f>IF(7628.15=0, "-", 56363.51/7628.15)</f>
        <v>7.3888832810052243</v>
      </c>
      <c r="O2619" s="357">
        <f>IF(16617.65=0, "-", 47396.47/16617.65)</f>
        <v>2.8521764509422209</v>
      </c>
      <c r="P2619" s="343"/>
      <c r="Q2619" s="343"/>
      <c r="R2619" s="343">
        <f ca="1">IF(ISERROR(VALUE(TRIM(INDIRECT(ADDRESS(ROW()-1, COLUMN(A2289)))))), INDIRECT(ADDRESS(ROW()-2, COLUMN(R2289)))+1, INDIRECT(ADDRESS(ROW()-1, COLUMN(R2289))))</f>
        <v>2</v>
      </c>
    </row>
    <row r="2620" spans="1:18" ht="48">
      <c r="A2620" s="339">
        <v>66.296000000000006</v>
      </c>
      <c r="B2620" s="334" t="s">
        <v>4674</v>
      </c>
      <c r="C2620" s="340" t="s">
        <v>4675</v>
      </c>
      <c r="D2620" s="341">
        <v>39987</v>
      </c>
      <c r="E2620" s="341">
        <v>2732.22</v>
      </c>
      <c r="F2620" s="341">
        <v>8725.35</v>
      </c>
      <c r="G2620" s="341">
        <v>28529.43</v>
      </c>
      <c r="H2620" s="342">
        <v>180769.4</v>
      </c>
      <c r="I2620" s="342">
        <f>35656.06</f>
        <v>35656.06</v>
      </c>
      <c r="J2620" s="342">
        <v>65153.58</v>
      </c>
      <c r="K2620" s="342">
        <v>79959.759999999995</v>
      </c>
      <c r="L2620" s="357">
        <f>IF(39987=0, "-", 180769.4/39987)</f>
        <v>4.5207042288743837</v>
      </c>
      <c r="M2620" s="357">
        <v>13.05</v>
      </c>
      <c r="N2620" s="357">
        <f>IF(8725.35=0, "-", 65153.58/8725.35)</f>
        <v>7.4671594835737247</v>
      </c>
      <c r="O2620" s="357">
        <f>IF(28529.43=0, "-", 79959.76/28529.43)</f>
        <v>2.8027114456895914</v>
      </c>
      <c r="P2620" s="343"/>
      <c r="Q2620" s="343"/>
      <c r="R2620" s="343">
        <f ca="1">IF(ISERROR(VALUE(TRIM(INDIRECT(ADDRESS(ROW()-1, COLUMN(A2289)))))), INDIRECT(ADDRESS(ROW()-2, COLUMN(R2289)))+1, INDIRECT(ADDRESS(ROW()-1, COLUMN(R2289))))</f>
        <v>2</v>
      </c>
    </row>
    <row r="2621" spans="1:18" ht="48">
      <c r="A2621" s="339">
        <v>66.296999999999997</v>
      </c>
      <c r="B2621" s="334" t="s">
        <v>4676</v>
      </c>
      <c r="C2621" s="340" t="s">
        <v>4677</v>
      </c>
      <c r="D2621" s="341">
        <v>46269.68</v>
      </c>
      <c r="E2621" s="341">
        <v>2786.89</v>
      </c>
      <c r="F2621" s="341">
        <v>8990.11</v>
      </c>
      <c r="G2621" s="341">
        <v>34492.68</v>
      </c>
      <c r="H2621" s="342">
        <v>199438.24</v>
      </c>
      <c r="I2621" s="342">
        <f>36369.58</f>
        <v>36369.58</v>
      </c>
      <c r="J2621" s="342">
        <v>66799.45</v>
      </c>
      <c r="K2621" s="342">
        <v>96269.21</v>
      </c>
      <c r="L2621" s="357">
        <f>IF(46269.68=0, "-", 199438.24/46269.68)</f>
        <v>4.3103440525199224</v>
      </c>
      <c r="M2621" s="357">
        <v>13.05</v>
      </c>
      <c r="N2621" s="357">
        <f>IF(8990.11=0, "-", 66799.45/8990.11)</f>
        <v>7.4303262140285264</v>
      </c>
      <c r="O2621" s="357">
        <f>IF(34492.68=0, "-", 96269.21/34492.68)</f>
        <v>2.7910040623111918</v>
      </c>
      <c r="P2621" s="343"/>
      <c r="Q2621" s="343"/>
      <c r="R2621" s="343">
        <f ca="1">IF(ISERROR(VALUE(TRIM(INDIRECT(ADDRESS(ROW()-1, COLUMN(A2289)))))), INDIRECT(ADDRESS(ROW()-2, COLUMN(R2289)))+1, INDIRECT(ADDRESS(ROW()-1, COLUMN(R2289))))</f>
        <v>2</v>
      </c>
    </row>
    <row r="2622" spans="1:18" ht="48">
      <c r="A2622" s="339">
        <v>66.298000000000002</v>
      </c>
      <c r="B2622" s="334" t="s">
        <v>4678</v>
      </c>
      <c r="C2622" s="340" t="s">
        <v>4679</v>
      </c>
      <c r="D2622" s="341">
        <v>79547.460000000006</v>
      </c>
      <c r="E2622" s="341">
        <v>3122.71</v>
      </c>
      <c r="F2622" s="341">
        <v>10119.879999999999</v>
      </c>
      <c r="G2622" s="341">
        <v>66304.87</v>
      </c>
      <c r="H2622" s="342">
        <v>299877.96000000002</v>
      </c>
      <c r="I2622" s="342">
        <f>40752.12</f>
        <v>40752.120000000003</v>
      </c>
      <c r="J2622" s="342">
        <v>75886.25</v>
      </c>
      <c r="K2622" s="342">
        <v>183239.59</v>
      </c>
      <c r="L2622" s="357">
        <f>IF(79547.46=0, "-", 299877.96/79547.46)</f>
        <v>3.7697993122596247</v>
      </c>
      <c r="M2622" s="357">
        <v>13.05</v>
      </c>
      <c r="N2622" s="357">
        <f>IF(10119.88=0, "-", 75886.25/10119.88)</f>
        <v>7.4987302220974961</v>
      </c>
      <c r="O2622" s="357">
        <f>IF(66304.87=0, "-", 183239.59/66304.87)</f>
        <v>2.7635917241071435</v>
      </c>
      <c r="P2622" s="343"/>
      <c r="Q2622" s="343"/>
      <c r="R2622" s="343">
        <f ca="1">IF(ISERROR(VALUE(TRIM(INDIRECT(ADDRESS(ROW()-1, COLUMN(A2289)))))), INDIRECT(ADDRESS(ROW()-2, COLUMN(R2289)))+1, INDIRECT(ADDRESS(ROW()-1, COLUMN(R2289))))</f>
        <v>2</v>
      </c>
    </row>
    <row r="2623" spans="1:18" ht="48">
      <c r="A2623" s="339">
        <v>66.299000000000007</v>
      </c>
      <c r="B2623" s="334" t="s">
        <v>4680</v>
      </c>
      <c r="C2623" s="340" t="s">
        <v>4681</v>
      </c>
      <c r="D2623" s="341">
        <v>79871.87</v>
      </c>
      <c r="E2623" s="341">
        <v>3177.39</v>
      </c>
      <c r="F2623" s="341">
        <v>10384.64</v>
      </c>
      <c r="G2623" s="341">
        <v>66309.84</v>
      </c>
      <c r="H2623" s="342">
        <v>302247.18</v>
      </c>
      <c r="I2623" s="342">
        <f>41465.64</f>
        <v>41465.64</v>
      </c>
      <c r="J2623" s="342">
        <v>77532.12</v>
      </c>
      <c r="K2623" s="342">
        <v>183249.42</v>
      </c>
      <c r="L2623" s="357">
        <f>IF(79871.87=0, "-", 302247.18/79871.87)</f>
        <v>3.784150540108802</v>
      </c>
      <c r="M2623" s="357">
        <v>13.05</v>
      </c>
      <c r="N2623" s="357">
        <f>IF(10384.64=0, "-", 77532.12/10384.64)</f>
        <v>7.4660383027240229</v>
      </c>
      <c r="O2623" s="357">
        <f>IF(66309.84=0, "-", 183249.42/66309.84)</f>
        <v>2.763532833136078</v>
      </c>
      <c r="P2623" s="343"/>
      <c r="Q2623" s="343"/>
      <c r="R2623" s="343">
        <f ca="1">IF(ISERROR(VALUE(TRIM(INDIRECT(ADDRESS(ROW()-1, COLUMN(A2289)))))), INDIRECT(ADDRESS(ROW()-2, COLUMN(R2289)))+1, INDIRECT(ADDRESS(ROW()-1, COLUMN(R2289))))</f>
        <v>2</v>
      </c>
    </row>
    <row r="2624" spans="1:18" ht="48">
      <c r="A2624" s="339">
        <v>66.3</v>
      </c>
      <c r="B2624" s="334" t="s">
        <v>4682</v>
      </c>
      <c r="C2624" s="340" t="s">
        <v>4683</v>
      </c>
      <c r="D2624" s="341">
        <v>103120.7</v>
      </c>
      <c r="E2624" s="341">
        <v>4514.1499999999996</v>
      </c>
      <c r="F2624" s="341">
        <v>14952.25</v>
      </c>
      <c r="G2624" s="341">
        <v>83654.3</v>
      </c>
      <c r="H2624" s="342">
        <v>396611.3</v>
      </c>
      <c r="I2624" s="342">
        <f>58910.73</f>
        <v>58910.73</v>
      </c>
      <c r="J2624" s="342">
        <v>107044.65</v>
      </c>
      <c r="K2624" s="342">
        <v>230655.92</v>
      </c>
      <c r="L2624" s="357">
        <f>IF(103120.7=0, "-", 396611.3/103120.7)</f>
        <v>3.8460881277958743</v>
      </c>
      <c r="M2624" s="357">
        <v>13.05</v>
      </c>
      <c r="N2624" s="357">
        <f>IF(14952.25=0, "-", 107044.65/14952.25)</f>
        <v>7.1590998010332889</v>
      </c>
      <c r="O2624" s="357">
        <f>IF(83654.3=0, "-", 230655.92/83654.3)</f>
        <v>2.757251211234808</v>
      </c>
      <c r="P2624" s="343"/>
      <c r="Q2624" s="343"/>
      <c r="R2624" s="343">
        <f ca="1">IF(ISERROR(VALUE(TRIM(INDIRECT(ADDRESS(ROW()-1, COLUMN(A2289)))))), INDIRECT(ADDRESS(ROW()-2, COLUMN(R2289)))+1, INDIRECT(ADDRESS(ROW()-1, COLUMN(R2289))))</f>
        <v>2</v>
      </c>
    </row>
    <row r="2625" spans="1:18" ht="48">
      <c r="A2625" s="339">
        <v>66.301000000000002</v>
      </c>
      <c r="B2625" s="334" t="s">
        <v>4684</v>
      </c>
      <c r="C2625" s="340" t="s">
        <v>4685</v>
      </c>
      <c r="D2625" s="341">
        <v>122960</v>
      </c>
      <c r="E2625" s="341">
        <v>4576.1000000000004</v>
      </c>
      <c r="F2625" s="341">
        <v>15254.6</v>
      </c>
      <c r="G2625" s="341">
        <v>103129.3</v>
      </c>
      <c r="H2625" s="342">
        <v>452667.3</v>
      </c>
      <c r="I2625" s="342">
        <f>59719.16</f>
        <v>59719.16</v>
      </c>
      <c r="J2625" s="342">
        <v>109032.9</v>
      </c>
      <c r="K2625" s="342">
        <v>283915.24</v>
      </c>
      <c r="L2625" s="357">
        <f>IF(122960=0, "-", 452667.3/122960)</f>
        <v>3.6814191607026676</v>
      </c>
      <c r="M2625" s="357">
        <v>13.05</v>
      </c>
      <c r="N2625" s="357">
        <f>IF(15254.6=0, "-", 109032.9/15254.6)</f>
        <v>7.1475423806589484</v>
      </c>
      <c r="O2625" s="357">
        <f>IF(103129.3=0, "-", 283915.24/103129.3)</f>
        <v>2.7530026869182667</v>
      </c>
      <c r="P2625" s="343"/>
      <c r="Q2625" s="343"/>
      <c r="R2625" s="343">
        <f ca="1">IF(ISERROR(VALUE(TRIM(INDIRECT(ADDRESS(ROW()-1, COLUMN(A2289)))))), INDIRECT(ADDRESS(ROW()-2, COLUMN(R2289)))+1, INDIRECT(ADDRESS(ROW()-1, COLUMN(R2289))))</f>
        <v>2</v>
      </c>
    </row>
    <row r="2626" spans="1:18" ht="48">
      <c r="A2626" s="339">
        <v>66.302000000000007</v>
      </c>
      <c r="B2626" s="334" t="s">
        <v>4686</v>
      </c>
      <c r="C2626" s="340" t="s">
        <v>4687</v>
      </c>
      <c r="D2626" s="341">
        <v>174400.61</v>
      </c>
      <c r="E2626" s="341">
        <v>4900.88</v>
      </c>
      <c r="F2626" s="341">
        <v>16433.900000000001</v>
      </c>
      <c r="G2626" s="341">
        <v>153065.82999999999</v>
      </c>
      <c r="H2626" s="342">
        <v>603468.25</v>
      </c>
      <c r="I2626" s="342">
        <f>63957.69</f>
        <v>63957.69</v>
      </c>
      <c r="J2626" s="342">
        <v>119009.97</v>
      </c>
      <c r="K2626" s="342">
        <v>420500.59</v>
      </c>
      <c r="L2626" s="357">
        <f>IF(174400.61=0, "-", 603468.25/174400.61)</f>
        <v>3.4602416241548699</v>
      </c>
      <c r="M2626" s="357">
        <v>13.05</v>
      </c>
      <c r="N2626" s="357">
        <f>IF(16433.9=0, "-", 119009.97/16433.9)</f>
        <v>7.241736289012346</v>
      </c>
      <c r="O2626" s="357">
        <f>IF(153065.83=0, "-", 420500.59/153065.83)</f>
        <v>2.7471878602820765</v>
      </c>
      <c r="P2626" s="343"/>
      <c r="Q2626" s="343"/>
      <c r="R2626" s="343">
        <f ca="1">IF(ISERROR(VALUE(TRIM(INDIRECT(ADDRESS(ROW()-1, COLUMN(A2289)))))), INDIRECT(ADDRESS(ROW()-2, COLUMN(R2289)))+1, INDIRECT(ADDRESS(ROW()-1, COLUMN(R2289))))</f>
        <v>2</v>
      </c>
    </row>
    <row r="2627" spans="1:18" ht="48">
      <c r="A2627" s="339">
        <v>66.302999999999997</v>
      </c>
      <c r="B2627" s="334" t="s">
        <v>4688</v>
      </c>
      <c r="C2627" s="340" t="s">
        <v>4689</v>
      </c>
      <c r="D2627" s="341">
        <v>216061.32</v>
      </c>
      <c r="E2627" s="341">
        <v>4965.34</v>
      </c>
      <c r="F2627" s="341">
        <v>16751.28</v>
      </c>
      <c r="G2627" s="341">
        <v>194344.7</v>
      </c>
      <c r="H2627" s="342">
        <v>719311.25</v>
      </c>
      <c r="I2627" s="342">
        <f>64798.85</f>
        <v>64798.85</v>
      </c>
      <c r="J2627" s="342">
        <v>121135.17</v>
      </c>
      <c r="K2627" s="342">
        <v>533377.23</v>
      </c>
      <c r="L2627" s="357">
        <f>IF(216061.32=0, "-", 719311.25/216061.32)</f>
        <v>3.3291995531638889</v>
      </c>
      <c r="M2627" s="357">
        <v>13.05</v>
      </c>
      <c r="N2627" s="357">
        <f>IF(16751.28=0, "-", 121135.17/16751.28)</f>
        <v>7.2313978394486877</v>
      </c>
      <c r="O2627" s="357">
        <f>IF(194344.7=0, "-", 533377.23/194344.7)</f>
        <v>2.7444907424797278</v>
      </c>
      <c r="P2627" s="343"/>
      <c r="Q2627" s="343"/>
      <c r="R2627" s="343">
        <f ca="1">IF(ISERROR(VALUE(TRIM(INDIRECT(ADDRESS(ROW()-1, COLUMN(A2289)))))), INDIRECT(ADDRESS(ROW()-2, COLUMN(R2289)))+1, INDIRECT(ADDRESS(ROW()-1, COLUMN(R2289))))</f>
        <v>2</v>
      </c>
    </row>
    <row r="2628" spans="1:18" ht="48">
      <c r="A2628" s="339">
        <v>66.304000000000002</v>
      </c>
      <c r="B2628" s="334" t="s">
        <v>4690</v>
      </c>
      <c r="C2628" s="340" t="s">
        <v>4691</v>
      </c>
      <c r="D2628" s="341">
        <v>264632.69</v>
      </c>
      <c r="E2628" s="341">
        <v>5030.8</v>
      </c>
      <c r="F2628" s="341">
        <v>17076.169999999998</v>
      </c>
      <c r="G2628" s="341">
        <v>242525.72</v>
      </c>
      <c r="H2628" s="342">
        <v>854134.31</v>
      </c>
      <c r="I2628" s="342">
        <f>65653.11</f>
        <v>65653.11</v>
      </c>
      <c r="J2628" s="342">
        <v>123328.84</v>
      </c>
      <c r="K2628" s="342">
        <v>665152.36</v>
      </c>
      <c r="L2628" s="357">
        <f>IF(264632.69=0, "-", 854134.31/264632.69)</f>
        <v>3.2276220674021796</v>
      </c>
      <c r="M2628" s="357">
        <v>13.05</v>
      </c>
      <c r="N2628" s="357">
        <f>IF(17076.17=0, "-", 123328.84/17076.17)</f>
        <v>7.222277595034484</v>
      </c>
      <c r="O2628" s="357">
        <f>IF(242525.72=0, "-", 665152.36/242525.72)</f>
        <v>2.7426054440741376</v>
      </c>
      <c r="P2628" s="343"/>
      <c r="Q2628" s="343"/>
      <c r="R2628" s="343">
        <f ca="1">IF(ISERROR(VALUE(TRIM(INDIRECT(ADDRESS(ROW()-1, COLUMN(A2289)))))), INDIRECT(ADDRESS(ROW()-2, COLUMN(R2289)))+1, INDIRECT(ADDRESS(ROW()-1, COLUMN(R2289))))</f>
        <v>2</v>
      </c>
    </row>
    <row r="2629" spans="1:18" ht="48">
      <c r="A2629" s="339">
        <v>66.305000000000007</v>
      </c>
      <c r="B2629" s="334" t="s">
        <v>4692</v>
      </c>
      <c r="C2629" s="340" t="s">
        <v>4693</v>
      </c>
      <c r="D2629" s="341">
        <v>321211.73</v>
      </c>
      <c r="E2629" s="341">
        <v>5358.09</v>
      </c>
      <c r="F2629" s="341">
        <v>18268</v>
      </c>
      <c r="G2629" s="341">
        <v>297585.64</v>
      </c>
      <c r="H2629" s="342">
        <v>1019116.41</v>
      </c>
      <c r="I2629" s="342">
        <f>69924.37</f>
        <v>69924.37</v>
      </c>
      <c r="J2629" s="342">
        <v>133420.04</v>
      </c>
      <c r="K2629" s="342">
        <v>815772</v>
      </c>
      <c r="L2629" s="357">
        <f>IF(321211.73=0, "-", 1019116.41/321211.73)</f>
        <v>3.1727247631959146</v>
      </c>
      <c r="M2629" s="357">
        <v>13.05</v>
      </c>
      <c r="N2629" s="357">
        <f>IF(18268=0, "-", 133420.04/18268)</f>
        <v>7.3034836873220934</v>
      </c>
      <c r="O2629" s="357">
        <f>IF(297585.64=0, "-", 815772/297585.64)</f>
        <v>2.7413016300114479</v>
      </c>
      <c r="P2629" s="343"/>
      <c r="Q2629" s="343"/>
      <c r="R2629" s="343">
        <f ca="1">IF(ISERROR(VALUE(TRIM(INDIRECT(ADDRESS(ROW()-1, COLUMN(A2289)))))), INDIRECT(ADDRESS(ROW()-2, COLUMN(R2289)))+1, INDIRECT(ADDRESS(ROW()-1, COLUMN(R2289))))</f>
        <v>2</v>
      </c>
    </row>
    <row r="2630" spans="1:18" ht="48">
      <c r="A2630" s="339">
        <v>66.305999999999997</v>
      </c>
      <c r="B2630" s="334" t="s">
        <v>4694</v>
      </c>
      <c r="C2630" s="340" t="s">
        <v>4695</v>
      </c>
      <c r="D2630" s="341">
        <v>348173.69</v>
      </c>
      <c r="E2630" s="341">
        <v>5420.04</v>
      </c>
      <c r="F2630" s="341">
        <v>18572.849999999999</v>
      </c>
      <c r="G2630" s="341">
        <v>324180.8</v>
      </c>
      <c r="H2630" s="342">
        <v>1094889.31</v>
      </c>
      <c r="I2630" s="342">
        <f>70732.8</f>
        <v>70732.800000000003</v>
      </c>
      <c r="J2630" s="342">
        <v>135431.10999999999</v>
      </c>
      <c r="K2630" s="342">
        <v>888725.4</v>
      </c>
      <c r="L2630" s="357">
        <f>IF(348173.69=0, "-", 1094889.31/348173.69)</f>
        <v>3.1446641186472188</v>
      </c>
      <c r="M2630" s="357">
        <v>13.05</v>
      </c>
      <c r="N2630" s="357">
        <f>IF(18572.85=0, "-", 135431.11/18572.85)</f>
        <v>7.291886274858193</v>
      </c>
      <c r="O2630" s="357">
        <f>IF(324180.8=0, "-", 888725.4/324180.8)</f>
        <v>2.7414498329327341</v>
      </c>
      <c r="P2630" s="343"/>
      <c r="Q2630" s="343"/>
      <c r="R2630" s="343">
        <f ca="1">IF(ISERROR(VALUE(TRIM(INDIRECT(ADDRESS(ROW()-1, COLUMN(A2289)))))), INDIRECT(ADDRESS(ROW()-2, COLUMN(R2289)))+1, INDIRECT(ADDRESS(ROW()-1, COLUMN(R2289))))</f>
        <v>2</v>
      </c>
    </row>
    <row r="2631" spans="1:18" ht="48">
      <c r="A2631" s="339">
        <v>66.307000000000002</v>
      </c>
      <c r="B2631" s="334" t="s">
        <v>4696</v>
      </c>
      <c r="C2631" s="340" t="s">
        <v>4697</v>
      </c>
      <c r="D2631" s="341">
        <v>378415.81</v>
      </c>
      <c r="E2631" s="341">
        <v>5538.67</v>
      </c>
      <c r="F2631" s="341">
        <v>19152.490000000002</v>
      </c>
      <c r="G2631" s="341">
        <v>353724.65</v>
      </c>
      <c r="H2631" s="342">
        <v>1181279.05</v>
      </c>
      <c r="I2631" s="342">
        <f>72280.93</f>
        <v>72280.929999999993</v>
      </c>
      <c r="J2631" s="342">
        <v>139179.35</v>
      </c>
      <c r="K2631" s="342">
        <v>969818.77</v>
      </c>
      <c r="L2631" s="357">
        <f>IF(378415.81=0, "-", 1181279.05/378415.81)</f>
        <v>3.1216429620104935</v>
      </c>
      <c r="M2631" s="357">
        <v>13.05</v>
      </c>
      <c r="N2631" s="357">
        <f>IF(19152.49=0, "-", 139179.35/19152.49)</f>
        <v>7.2669062873809098</v>
      </c>
      <c r="O2631" s="357">
        <f>IF(353724.65=0, "-", 969818.77/353724.65)</f>
        <v>2.7417336337741798</v>
      </c>
      <c r="P2631" s="343"/>
      <c r="Q2631" s="343"/>
      <c r="R2631" s="343">
        <f ca="1">IF(ISERROR(VALUE(TRIM(INDIRECT(ADDRESS(ROW()-1, COLUMN(A2289)))))), INDIRECT(ADDRESS(ROW()-2, COLUMN(R2289)))+1, INDIRECT(ADDRESS(ROW()-1, COLUMN(R2289))))</f>
        <v>2</v>
      </c>
    </row>
    <row r="2632" spans="1:18" ht="48">
      <c r="A2632" s="344">
        <v>66.308000000000007</v>
      </c>
      <c r="B2632" s="345" t="s">
        <v>4698</v>
      </c>
      <c r="C2632" s="346" t="s">
        <v>4699</v>
      </c>
      <c r="D2632" s="347">
        <v>408733.98</v>
      </c>
      <c r="E2632" s="347">
        <v>5708.96</v>
      </c>
      <c r="F2632" s="347">
        <v>19744.650000000001</v>
      </c>
      <c r="G2632" s="347">
        <v>383280.37</v>
      </c>
      <c r="H2632" s="348">
        <v>1268532.77</v>
      </c>
      <c r="I2632" s="348">
        <f>74503.3</f>
        <v>74503.3</v>
      </c>
      <c r="J2632" s="348">
        <v>143041.72</v>
      </c>
      <c r="K2632" s="348">
        <v>1050987.75</v>
      </c>
      <c r="L2632" s="356">
        <f>IF(408733.98=0, "-", 1268532.77/408733.98)</f>
        <v>3.1035657226247744</v>
      </c>
      <c r="M2632" s="357">
        <v>13.05</v>
      </c>
      <c r="N2632" s="356">
        <f>IF(19744.65=0, "-", 143041.72/19744.65)</f>
        <v>7.2445811903477644</v>
      </c>
      <c r="O2632" s="356">
        <f>IF(383280.37=0, "-", 1050987.75/383280.37)</f>
        <v>2.7420860348261509</v>
      </c>
      <c r="P2632" s="349"/>
      <c r="Q2632" s="349"/>
      <c r="R2632" s="349">
        <f ca="1">IF(ISERROR(VALUE(TRIM(INDIRECT(ADDRESS(ROW()-1, COLUMN(A2289)))))), INDIRECT(ADDRESS(ROW()-2, COLUMN(R2289)))+1, INDIRECT(ADDRESS(ROW()-1, COLUMN(R2289))))</f>
        <v>2</v>
      </c>
    </row>
    <row r="2633" spans="1:18" ht="12.75">
      <c r="A2633" s="428" t="s">
        <v>2311</v>
      </c>
      <c r="B2633" s="429"/>
      <c r="C2633" s="429"/>
      <c r="D2633" s="429"/>
      <c r="E2633" s="429"/>
      <c r="F2633" s="429"/>
      <c r="G2633" s="429"/>
      <c r="H2633" s="429"/>
      <c r="I2633" s="429"/>
      <c r="J2633" s="429"/>
      <c r="K2633" s="429"/>
      <c r="L2633" s="429"/>
      <c r="M2633" s="429"/>
      <c r="N2633" s="429"/>
      <c r="O2633" s="429"/>
      <c r="P2633" s="429"/>
      <c r="Q2633" s="429"/>
      <c r="R2633" s="429"/>
    </row>
    <row r="2634" spans="1:18" ht="12.75">
      <c r="A2634" s="426" t="s">
        <v>4700</v>
      </c>
      <c r="B2634" s="427"/>
      <c r="C2634" s="427"/>
      <c r="D2634" s="427"/>
      <c r="E2634" s="427"/>
      <c r="F2634" s="427"/>
      <c r="G2634" s="427"/>
      <c r="H2634" s="427"/>
      <c r="I2634" s="427"/>
      <c r="J2634" s="427"/>
      <c r="K2634" s="427"/>
      <c r="L2634" s="427"/>
      <c r="M2634" s="427"/>
      <c r="N2634" s="427"/>
      <c r="O2634" s="427"/>
      <c r="P2634" s="427"/>
      <c r="Q2634" s="427"/>
      <c r="R2634" s="427"/>
    </row>
    <row r="2635" spans="1:18" ht="12.75">
      <c r="A2635" s="426" t="s">
        <v>4701</v>
      </c>
      <c r="B2635" s="427"/>
      <c r="C2635" s="427"/>
      <c r="D2635" s="427"/>
      <c r="E2635" s="427"/>
      <c r="F2635" s="427"/>
      <c r="G2635" s="427"/>
      <c r="H2635" s="427"/>
      <c r="I2635" s="427"/>
      <c r="J2635" s="427"/>
      <c r="K2635" s="427"/>
      <c r="L2635" s="427"/>
      <c r="M2635" s="427"/>
      <c r="N2635" s="427"/>
      <c r="O2635" s="427"/>
      <c r="P2635" s="427"/>
      <c r="Q2635" s="427"/>
      <c r="R2635" s="427"/>
    </row>
    <row r="2636" spans="1:18" ht="36">
      <c r="A2636" s="339">
        <v>66.308999999999997</v>
      </c>
      <c r="B2636" s="334" t="s">
        <v>4702</v>
      </c>
      <c r="C2636" s="340" t="s">
        <v>4703</v>
      </c>
      <c r="D2636" s="341">
        <v>3650.57</v>
      </c>
      <c r="E2636" s="341">
        <v>561.72</v>
      </c>
      <c r="F2636" s="341">
        <v>275.67</v>
      </c>
      <c r="G2636" s="341">
        <v>2813.18</v>
      </c>
      <c r="H2636" s="342">
        <v>20913.97</v>
      </c>
      <c r="I2636" s="342">
        <f>7330.54</f>
        <v>7330.54</v>
      </c>
      <c r="J2636" s="342">
        <v>1245.5</v>
      </c>
      <c r="K2636" s="342">
        <v>12337.93</v>
      </c>
      <c r="L2636" s="357">
        <f>IF(3650.57=0, "-", 20913.97/3650.57)</f>
        <v>5.7289601349926178</v>
      </c>
      <c r="M2636" s="357">
        <v>13.05</v>
      </c>
      <c r="N2636" s="357">
        <f>IF(275.67=0, "-", 1245.5/275.67)</f>
        <v>4.5180832154387494</v>
      </c>
      <c r="O2636" s="357">
        <f>IF(2813.18=0, "-", 12337.93/2813.18)</f>
        <v>4.3857591764480057</v>
      </c>
      <c r="P2636" s="343"/>
      <c r="Q2636" s="343"/>
      <c r="R2636" s="343">
        <f ca="1">IF(ISERROR(VALUE(TRIM(INDIRECT(ADDRESS(ROW()-1, COLUMN(A2289)))))), INDIRECT(ADDRESS(ROW()-2, COLUMN(R2289)))+1, INDIRECT(ADDRESS(ROW()-1, COLUMN(R2289))))</f>
        <v>1</v>
      </c>
    </row>
    <row r="2637" spans="1:18" ht="36">
      <c r="A2637" s="339">
        <v>66.31</v>
      </c>
      <c r="B2637" s="334" t="s">
        <v>4704</v>
      </c>
      <c r="C2637" s="340" t="s">
        <v>4705</v>
      </c>
      <c r="D2637" s="341">
        <v>4388.26</v>
      </c>
      <c r="E2637" s="341">
        <v>635.45000000000005</v>
      </c>
      <c r="F2637" s="341">
        <v>292.52999999999997</v>
      </c>
      <c r="G2637" s="341">
        <v>3460.28</v>
      </c>
      <c r="H2637" s="342">
        <v>23561.45</v>
      </c>
      <c r="I2637" s="342">
        <f>8292.66</f>
        <v>8292.66</v>
      </c>
      <c r="J2637" s="342">
        <v>1325.33</v>
      </c>
      <c r="K2637" s="342">
        <v>13943.46</v>
      </c>
      <c r="L2637" s="357">
        <f>IF(4388.26=0, "-", 23561.45/4388.26)</f>
        <v>5.3692010044983656</v>
      </c>
      <c r="M2637" s="357">
        <v>13.05</v>
      </c>
      <c r="N2637" s="357">
        <f>IF(292.53=0, "-", 1325.33/292.53)</f>
        <v>4.5305780603698764</v>
      </c>
      <c r="O2637" s="357">
        <f>IF(3460.28=0, "-", 13943.46/3460.28)</f>
        <v>4.0295756412775843</v>
      </c>
      <c r="P2637" s="343"/>
      <c r="Q2637" s="343"/>
      <c r="R2637" s="343">
        <f ca="1">IF(ISERROR(VALUE(TRIM(INDIRECT(ADDRESS(ROW()-1, COLUMN(A2289)))))), INDIRECT(ADDRESS(ROW()-2, COLUMN(R2289)))+1, INDIRECT(ADDRESS(ROW()-1, COLUMN(R2289))))</f>
        <v>1</v>
      </c>
    </row>
    <row r="2638" spans="1:18" ht="36">
      <c r="A2638" s="339">
        <v>66.311000000000007</v>
      </c>
      <c r="B2638" s="334" t="s">
        <v>4706</v>
      </c>
      <c r="C2638" s="340" t="s">
        <v>4707</v>
      </c>
      <c r="D2638" s="341">
        <v>5286.36</v>
      </c>
      <c r="E2638" s="341">
        <v>783.52</v>
      </c>
      <c r="F2638" s="341">
        <v>317.52</v>
      </c>
      <c r="G2638" s="341">
        <v>4185.32</v>
      </c>
      <c r="H2638" s="342">
        <v>27856.16</v>
      </c>
      <c r="I2638" s="342">
        <f>10224.98</f>
        <v>10224.98</v>
      </c>
      <c r="J2638" s="342">
        <v>1448.99</v>
      </c>
      <c r="K2638" s="342">
        <v>16182.19</v>
      </c>
      <c r="L2638" s="357">
        <f>IF(5286.36=0, "-", 27856.16/5286.36)</f>
        <v>5.2694405980674794</v>
      </c>
      <c r="M2638" s="357">
        <v>13.05</v>
      </c>
      <c r="N2638" s="357">
        <f>IF(317.52=0, "-", 1448.99/317.52)</f>
        <v>4.5634605694129506</v>
      </c>
      <c r="O2638" s="357">
        <f>IF(4185.32=0, "-", 16182.19/4185.32)</f>
        <v>3.866416426939876</v>
      </c>
      <c r="P2638" s="343"/>
      <c r="Q2638" s="343"/>
      <c r="R2638" s="343">
        <f ca="1">IF(ISERROR(VALUE(TRIM(INDIRECT(ADDRESS(ROW()-1, COLUMN(A2289)))))), INDIRECT(ADDRESS(ROW()-2, COLUMN(R2289)))+1, INDIRECT(ADDRESS(ROW()-1, COLUMN(R2289))))</f>
        <v>1</v>
      </c>
    </row>
    <row r="2639" spans="1:18" ht="36">
      <c r="A2639" s="339">
        <v>66.311999999999998</v>
      </c>
      <c r="B2639" s="334" t="s">
        <v>4708</v>
      </c>
      <c r="C2639" s="340" t="s">
        <v>4709</v>
      </c>
      <c r="D2639" s="341">
        <v>9119.4599999999991</v>
      </c>
      <c r="E2639" s="341">
        <v>1284.01</v>
      </c>
      <c r="F2639" s="341">
        <v>602.04999999999995</v>
      </c>
      <c r="G2639" s="341">
        <v>7233.4</v>
      </c>
      <c r="H2639" s="342">
        <v>44686.45</v>
      </c>
      <c r="I2639" s="342">
        <f>16756.43</f>
        <v>16756.43</v>
      </c>
      <c r="J2639" s="342">
        <v>2801.55</v>
      </c>
      <c r="K2639" s="342">
        <v>25128.47</v>
      </c>
      <c r="L2639" s="357">
        <f>IF(9119.46=0, "-", 44686.45/9119.46)</f>
        <v>4.9001201825546685</v>
      </c>
      <c r="M2639" s="357">
        <v>13.05</v>
      </c>
      <c r="N2639" s="357">
        <f>IF(602.05=0, "-", 2801.55/602.05)</f>
        <v>4.6533510505771956</v>
      </c>
      <c r="O2639" s="357">
        <f>IF(7233.4=0, "-", 25128.47/7233.4)</f>
        <v>3.4739500096773304</v>
      </c>
      <c r="P2639" s="343"/>
      <c r="Q2639" s="343"/>
      <c r="R2639" s="343">
        <f ca="1">IF(ISERROR(VALUE(TRIM(INDIRECT(ADDRESS(ROW()-1, COLUMN(A2289)))))), INDIRECT(ADDRESS(ROW()-2, COLUMN(R2289)))+1, INDIRECT(ADDRESS(ROW()-1, COLUMN(R2289))))</f>
        <v>1</v>
      </c>
    </row>
    <row r="2640" spans="1:18" ht="36">
      <c r="A2640" s="339">
        <v>66.313000000000002</v>
      </c>
      <c r="B2640" s="334" t="s">
        <v>4710</v>
      </c>
      <c r="C2640" s="340" t="s">
        <v>4711</v>
      </c>
      <c r="D2640" s="341">
        <v>11308.96</v>
      </c>
      <c r="E2640" s="341">
        <v>1484.4</v>
      </c>
      <c r="F2640" s="341">
        <v>643.15</v>
      </c>
      <c r="G2640" s="341">
        <v>9181.41</v>
      </c>
      <c r="H2640" s="342">
        <v>52365.04</v>
      </c>
      <c r="I2640" s="342">
        <f>19371.6</f>
        <v>19371.599999999999</v>
      </c>
      <c r="J2640" s="342">
        <v>3002.53</v>
      </c>
      <c r="K2640" s="342">
        <v>29990.91</v>
      </c>
      <c r="L2640" s="357">
        <f>IF(11308.96=0, "-", 52365.04/11308.96)</f>
        <v>4.6304027956593714</v>
      </c>
      <c r="M2640" s="357">
        <v>13.05</v>
      </c>
      <c r="N2640" s="357">
        <f>IF(643.15=0, "-", 3002.53/643.15)</f>
        <v>4.6684754722848485</v>
      </c>
      <c r="O2640" s="357">
        <f>IF(9181.41=0, "-", 29990.91/9181.41)</f>
        <v>3.2664819455835215</v>
      </c>
      <c r="P2640" s="343"/>
      <c r="Q2640" s="343"/>
      <c r="R2640" s="343">
        <f ca="1">IF(ISERROR(VALUE(TRIM(INDIRECT(ADDRESS(ROW()-1, COLUMN(A2289)))))), INDIRECT(ADDRESS(ROW()-2, COLUMN(R2289)))+1, INDIRECT(ADDRESS(ROW()-1, COLUMN(R2289))))</f>
        <v>1</v>
      </c>
    </row>
    <row r="2641" spans="1:18" ht="36">
      <c r="A2641" s="339">
        <v>66.313999999999993</v>
      </c>
      <c r="B2641" s="334" t="s">
        <v>4712</v>
      </c>
      <c r="C2641" s="340" t="s">
        <v>4713</v>
      </c>
      <c r="D2641" s="341">
        <v>13795.95</v>
      </c>
      <c r="E2641" s="341">
        <v>1839.42</v>
      </c>
      <c r="F2641" s="341">
        <v>769.21</v>
      </c>
      <c r="G2641" s="341">
        <v>11187.32</v>
      </c>
      <c r="H2641" s="342">
        <v>62901.72</v>
      </c>
      <c r="I2641" s="342">
        <f>24004.64</f>
        <v>24004.639999999999</v>
      </c>
      <c r="J2641" s="342">
        <v>3661.96</v>
      </c>
      <c r="K2641" s="342">
        <v>35235.120000000003</v>
      </c>
      <c r="L2641" s="357">
        <f>IF(13795.95=0, "-", 62901.72/13795.95)</f>
        <v>4.5594337468604911</v>
      </c>
      <c r="M2641" s="357">
        <v>13.05</v>
      </c>
      <c r="N2641" s="357">
        <f>IF(769.21=0, "-", 3661.96/769.21)</f>
        <v>4.7606765382665328</v>
      </c>
      <c r="O2641" s="357">
        <f>IF(11187.32=0, "-", 35235.12/11187.32)</f>
        <v>3.1495586074234048</v>
      </c>
      <c r="P2641" s="343"/>
      <c r="Q2641" s="343"/>
      <c r="R2641" s="343">
        <f ca="1">IF(ISERROR(VALUE(TRIM(INDIRECT(ADDRESS(ROW()-1, COLUMN(A2289)))))), INDIRECT(ADDRESS(ROW()-2, COLUMN(R2289)))+1, INDIRECT(ADDRESS(ROW()-1, COLUMN(R2289))))</f>
        <v>1</v>
      </c>
    </row>
    <row r="2642" spans="1:18" ht="12.75">
      <c r="A2642" s="426" t="s">
        <v>4714</v>
      </c>
      <c r="B2642" s="427"/>
      <c r="C2642" s="427"/>
      <c r="D2642" s="427"/>
      <c r="E2642" s="427"/>
      <c r="F2642" s="427"/>
      <c r="G2642" s="427"/>
      <c r="H2642" s="427"/>
      <c r="I2642" s="427"/>
      <c r="J2642" s="427"/>
      <c r="K2642" s="427"/>
      <c r="L2642" s="427"/>
      <c r="M2642" s="427"/>
      <c r="N2642" s="427"/>
      <c r="O2642" s="427"/>
      <c r="P2642" s="427"/>
      <c r="Q2642" s="427"/>
      <c r="R2642" s="427"/>
    </row>
    <row r="2643" spans="1:18" ht="24">
      <c r="A2643" s="339">
        <v>66.314999999999998</v>
      </c>
      <c r="B2643" s="334" t="s">
        <v>4715</v>
      </c>
      <c r="C2643" s="340" t="s">
        <v>4716</v>
      </c>
      <c r="D2643" s="341">
        <v>4837.57</v>
      </c>
      <c r="E2643" s="341">
        <v>294.02999999999997</v>
      </c>
      <c r="F2643" s="341">
        <v>186.72</v>
      </c>
      <c r="G2643" s="341">
        <v>4356.82</v>
      </c>
      <c r="H2643" s="342">
        <v>19021.060000000001</v>
      </c>
      <c r="I2643" s="342">
        <f>3837.19</f>
        <v>3837.19</v>
      </c>
      <c r="J2643" s="342">
        <v>1315.5</v>
      </c>
      <c r="K2643" s="342">
        <v>13868.37</v>
      </c>
      <c r="L2643" s="357">
        <f>IF(4837.57=0, "-", 19021.06/4837.57)</f>
        <v>3.9319451708192341</v>
      </c>
      <c r="M2643" s="357">
        <v>13.05</v>
      </c>
      <c r="N2643" s="357">
        <f>IF(186.72=0, "-", 1315.5/186.72)</f>
        <v>7.0453084832904889</v>
      </c>
      <c r="O2643" s="357">
        <f>IF(4356.82=0, "-", 13868.37/4356.82)</f>
        <v>3.1831404556534357</v>
      </c>
      <c r="P2643" s="343"/>
      <c r="Q2643" s="343"/>
      <c r="R2643" s="343">
        <f ca="1">IF(ISERROR(VALUE(TRIM(INDIRECT(ADDRESS(ROW()-1, COLUMN(A2289)))))), INDIRECT(ADDRESS(ROW()-2, COLUMN(R2289)))+1, INDIRECT(ADDRESS(ROW()-1, COLUMN(R2289))))</f>
        <v>2</v>
      </c>
    </row>
    <row r="2644" spans="1:18" ht="24">
      <c r="A2644" s="339">
        <v>66.316000000000003</v>
      </c>
      <c r="B2644" s="334" t="s">
        <v>4717</v>
      </c>
      <c r="C2644" s="340" t="s">
        <v>4718</v>
      </c>
      <c r="D2644" s="341">
        <v>10656.24</v>
      </c>
      <c r="E2644" s="341">
        <v>360.96</v>
      </c>
      <c r="F2644" s="341">
        <v>215.05</v>
      </c>
      <c r="G2644" s="341">
        <v>10080.23</v>
      </c>
      <c r="H2644" s="342">
        <v>36091.25</v>
      </c>
      <c r="I2644" s="342">
        <f>4710.53</f>
        <v>4710.53</v>
      </c>
      <c r="J2644" s="342">
        <v>1553.58</v>
      </c>
      <c r="K2644" s="342">
        <v>29827.14</v>
      </c>
      <c r="L2644" s="357">
        <f>IF(10656.24=0, "-", 36091.25/10656.24)</f>
        <v>3.3868653483780395</v>
      </c>
      <c r="M2644" s="357">
        <v>13.05</v>
      </c>
      <c r="N2644" s="357">
        <f>IF(215.05=0, "-", 1553.58/215.05)</f>
        <v>7.2242734247849327</v>
      </c>
      <c r="O2644" s="357">
        <f>IF(10080.23=0, "-", 29827.14/10080.23)</f>
        <v>2.95897415039141</v>
      </c>
      <c r="P2644" s="343"/>
      <c r="Q2644" s="343"/>
      <c r="R2644" s="343">
        <f ca="1">IF(ISERROR(VALUE(TRIM(INDIRECT(ADDRESS(ROW()-1, COLUMN(A2289)))))), INDIRECT(ADDRESS(ROW()-2, COLUMN(R2289)))+1, INDIRECT(ADDRESS(ROW()-1, COLUMN(R2289))))</f>
        <v>2</v>
      </c>
    </row>
    <row r="2645" spans="1:18" ht="24">
      <c r="A2645" s="339">
        <v>66.316999999999993</v>
      </c>
      <c r="B2645" s="334" t="s">
        <v>4719</v>
      </c>
      <c r="C2645" s="340" t="s">
        <v>4720</v>
      </c>
      <c r="D2645" s="341">
        <v>12690.15</v>
      </c>
      <c r="E2645" s="341">
        <v>427.63</v>
      </c>
      <c r="F2645" s="341">
        <v>244.68</v>
      </c>
      <c r="G2645" s="341">
        <v>12017.84</v>
      </c>
      <c r="H2645" s="342">
        <v>42804.84</v>
      </c>
      <c r="I2645" s="342">
        <f>5580.64</f>
        <v>5580.64</v>
      </c>
      <c r="J2645" s="342">
        <v>1801.35</v>
      </c>
      <c r="K2645" s="342">
        <v>35422.85</v>
      </c>
      <c r="L2645" s="357">
        <f>IF(12690.15=0, "-", 42804.84/12690.15)</f>
        <v>3.373075968369168</v>
      </c>
      <c r="M2645" s="357">
        <v>13.05</v>
      </c>
      <c r="N2645" s="357">
        <f>IF(244.68=0, "-", 1801.35/244.68)</f>
        <v>7.3620647376164783</v>
      </c>
      <c r="O2645" s="357">
        <f>IF(12017.84=0, "-", 35422.85/12017.84)</f>
        <v>2.9475221836869188</v>
      </c>
      <c r="P2645" s="343"/>
      <c r="Q2645" s="343"/>
      <c r="R2645" s="343">
        <f ca="1">IF(ISERROR(VALUE(TRIM(INDIRECT(ADDRESS(ROW()-1, COLUMN(A2289)))))), INDIRECT(ADDRESS(ROW()-2, COLUMN(R2289)))+1, INDIRECT(ADDRESS(ROW()-1, COLUMN(R2289))))</f>
        <v>2</v>
      </c>
    </row>
    <row r="2646" spans="1:18" ht="24">
      <c r="A2646" s="339">
        <v>66.317999999999998</v>
      </c>
      <c r="B2646" s="334" t="s">
        <v>4721</v>
      </c>
      <c r="C2646" s="340" t="s">
        <v>4722</v>
      </c>
      <c r="D2646" s="341">
        <v>25069.4</v>
      </c>
      <c r="E2646" s="341">
        <v>804.92</v>
      </c>
      <c r="F2646" s="341">
        <v>413.49</v>
      </c>
      <c r="G2646" s="341">
        <v>23850.99</v>
      </c>
      <c r="H2646" s="342">
        <v>82612.009999999995</v>
      </c>
      <c r="I2646" s="342">
        <f>10504.25</f>
        <v>10504.25</v>
      </c>
      <c r="J2646" s="342">
        <v>3231.01</v>
      </c>
      <c r="K2646" s="342">
        <v>68876.75</v>
      </c>
      <c r="L2646" s="357">
        <f>IF(25069.4=0, "-", 82612.01/25069.4)</f>
        <v>3.2953325568222609</v>
      </c>
      <c r="M2646" s="357">
        <v>13.05</v>
      </c>
      <c r="N2646" s="357">
        <f>IF(413.49=0, "-", 3231.01/413.49)</f>
        <v>7.813997920143172</v>
      </c>
      <c r="O2646" s="357">
        <f>IF(23850.99=0, "-", 68876.75/23850.99)</f>
        <v>2.8877941754199719</v>
      </c>
      <c r="P2646" s="343"/>
      <c r="Q2646" s="343"/>
      <c r="R2646" s="343">
        <f ca="1">IF(ISERROR(VALUE(TRIM(INDIRECT(ADDRESS(ROW()-1, COLUMN(A2289)))))), INDIRECT(ADDRESS(ROW()-2, COLUMN(R2289)))+1, INDIRECT(ADDRESS(ROW()-1, COLUMN(R2289))))</f>
        <v>2</v>
      </c>
    </row>
    <row r="2647" spans="1:18" ht="24">
      <c r="A2647" s="339">
        <v>66.319000000000003</v>
      </c>
      <c r="B2647" s="334" t="s">
        <v>4723</v>
      </c>
      <c r="C2647" s="340" t="s">
        <v>4724</v>
      </c>
      <c r="D2647" s="341">
        <v>31116.799999999999</v>
      </c>
      <c r="E2647" s="341">
        <v>1014.71</v>
      </c>
      <c r="F2647" s="341">
        <v>486.78</v>
      </c>
      <c r="G2647" s="341">
        <v>29615.31</v>
      </c>
      <c r="H2647" s="342">
        <v>102264.3</v>
      </c>
      <c r="I2647" s="342">
        <f>13242.1</f>
        <v>13242.1</v>
      </c>
      <c r="J2647" s="342">
        <v>3854.87</v>
      </c>
      <c r="K2647" s="342">
        <v>85167.33</v>
      </c>
      <c r="L2647" s="357">
        <f>IF(31116.8=0, "-", 102264.3/31116.8)</f>
        <v>3.2864658319621558</v>
      </c>
      <c r="M2647" s="357">
        <v>13.05</v>
      </c>
      <c r="N2647" s="357">
        <f>IF(486.78=0, "-", 3854.87/486.78)</f>
        <v>7.9191215744278729</v>
      </c>
      <c r="O2647" s="357">
        <f>IF(29615.31=0, "-", 85167.33/29615.31)</f>
        <v>2.8757872195158516</v>
      </c>
      <c r="P2647" s="343"/>
      <c r="Q2647" s="343"/>
      <c r="R2647" s="343">
        <f ca="1">IF(ISERROR(VALUE(TRIM(INDIRECT(ADDRESS(ROW()-1, COLUMN(A2289)))))), INDIRECT(ADDRESS(ROW()-2, COLUMN(R2289)))+1, INDIRECT(ADDRESS(ROW()-1, COLUMN(R2289))))</f>
        <v>2</v>
      </c>
    </row>
    <row r="2648" spans="1:18" ht="24">
      <c r="A2648" s="339">
        <v>66.319999999999993</v>
      </c>
      <c r="B2648" s="334" t="s">
        <v>4725</v>
      </c>
      <c r="C2648" s="340" t="s">
        <v>4726</v>
      </c>
      <c r="D2648" s="341">
        <v>37181.839999999997</v>
      </c>
      <c r="E2648" s="341">
        <v>1200.01</v>
      </c>
      <c r="F2648" s="341">
        <v>567.76</v>
      </c>
      <c r="G2648" s="341">
        <v>35414.07</v>
      </c>
      <c r="H2648" s="342">
        <v>121890.13</v>
      </c>
      <c r="I2648" s="342">
        <f>15660.32</f>
        <v>15660.32</v>
      </c>
      <c r="J2648" s="342">
        <v>4545.1899999999996</v>
      </c>
      <c r="K2648" s="342">
        <v>101684.62</v>
      </c>
      <c r="L2648" s="357">
        <f>IF(37181.84=0, "-", 121890.13/37181.84)</f>
        <v>3.2782167316087643</v>
      </c>
      <c r="M2648" s="357">
        <v>13.05</v>
      </c>
      <c r="N2648" s="357">
        <f>IF(567.76=0, "-", 4545.19/567.76)</f>
        <v>8.0054776666196972</v>
      </c>
      <c r="O2648" s="357">
        <f>IF(35414.07=0, "-", 101684.62/35414.07)</f>
        <v>2.8713056703169109</v>
      </c>
      <c r="P2648" s="343"/>
      <c r="Q2648" s="343"/>
      <c r="R2648" s="343">
        <f ca="1">IF(ISERROR(VALUE(TRIM(INDIRECT(ADDRESS(ROW()-1, COLUMN(A2289)))))), INDIRECT(ADDRESS(ROW()-2, COLUMN(R2289)))+1, INDIRECT(ADDRESS(ROW()-1, COLUMN(R2289))))</f>
        <v>2</v>
      </c>
    </row>
    <row r="2649" spans="1:18" ht="12.75">
      <c r="A2649" s="426" t="s">
        <v>4727</v>
      </c>
      <c r="B2649" s="427"/>
      <c r="C2649" s="427"/>
      <c r="D2649" s="427"/>
      <c r="E2649" s="427"/>
      <c r="F2649" s="427"/>
      <c r="G2649" s="427"/>
      <c r="H2649" s="427"/>
      <c r="I2649" s="427"/>
      <c r="J2649" s="427"/>
      <c r="K2649" s="427"/>
      <c r="L2649" s="427"/>
      <c r="M2649" s="427"/>
      <c r="N2649" s="427"/>
      <c r="O2649" s="427"/>
      <c r="P2649" s="427"/>
      <c r="Q2649" s="427"/>
      <c r="R2649" s="427"/>
    </row>
    <row r="2650" spans="1:18" ht="12.75">
      <c r="A2650" s="426" t="s">
        <v>4728</v>
      </c>
      <c r="B2650" s="427"/>
      <c r="C2650" s="427"/>
      <c r="D2650" s="427"/>
      <c r="E2650" s="427"/>
      <c r="F2650" s="427"/>
      <c r="G2650" s="427"/>
      <c r="H2650" s="427"/>
      <c r="I2650" s="427"/>
      <c r="J2650" s="427"/>
      <c r="K2650" s="427"/>
      <c r="L2650" s="427"/>
      <c r="M2650" s="427"/>
      <c r="N2650" s="427"/>
      <c r="O2650" s="427"/>
      <c r="P2650" s="427"/>
      <c r="Q2650" s="427"/>
      <c r="R2650" s="427"/>
    </row>
    <row r="2651" spans="1:18" ht="24">
      <c r="A2651" s="339">
        <v>66.320999999999998</v>
      </c>
      <c r="B2651" s="334" t="s">
        <v>4729</v>
      </c>
      <c r="C2651" s="340" t="s">
        <v>4730</v>
      </c>
      <c r="D2651" s="341">
        <v>171.75</v>
      </c>
      <c r="E2651" s="341">
        <v>14.71</v>
      </c>
      <c r="F2651" s="341">
        <v>152.19</v>
      </c>
      <c r="G2651" s="341">
        <v>4.8499999999999996</v>
      </c>
      <c r="H2651" s="342">
        <v>1337.26</v>
      </c>
      <c r="I2651" s="342">
        <f>191.92</f>
        <v>191.92</v>
      </c>
      <c r="J2651" s="342">
        <v>1107.94</v>
      </c>
      <c r="K2651" s="342">
        <v>37.4</v>
      </c>
      <c r="L2651" s="357">
        <f>IF(171.75=0, "-", 1337.26/171.75)</f>
        <v>7.7860844250363899</v>
      </c>
      <c r="M2651" s="357">
        <v>13.05</v>
      </c>
      <c r="N2651" s="357">
        <f>IF(152.19=0, "-", 1107.94/152.19)</f>
        <v>7.2799789736513576</v>
      </c>
      <c r="O2651" s="357">
        <f>IF(4.85=0, "-", 37.4/4.85)</f>
        <v>7.7113402061855671</v>
      </c>
      <c r="P2651" s="343"/>
      <c r="Q2651" s="343"/>
      <c r="R2651" s="343">
        <f ca="1">IF(ISERROR(VALUE(TRIM(INDIRECT(ADDRESS(ROW()-1, COLUMN(A2289)))))), INDIRECT(ADDRESS(ROW()-2, COLUMN(R2289)))+1, INDIRECT(ADDRESS(ROW()-1, COLUMN(R2289))))</f>
        <v>1</v>
      </c>
    </row>
    <row r="2652" spans="1:18" ht="24">
      <c r="A2652" s="339">
        <v>66.322000000000003</v>
      </c>
      <c r="B2652" s="334" t="s">
        <v>4731</v>
      </c>
      <c r="C2652" s="340" t="s">
        <v>4732</v>
      </c>
      <c r="D2652" s="341">
        <v>207.46</v>
      </c>
      <c r="E2652" s="341">
        <v>17.809999999999999</v>
      </c>
      <c r="F2652" s="341">
        <v>184.8</v>
      </c>
      <c r="G2652" s="341">
        <v>4.8499999999999996</v>
      </c>
      <c r="H2652" s="342">
        <v>1616.02</v>
      </c>
      <c r="I2652" s="342">
        <f>232.41</f>
        <v>232.41</v>
      </c>
      <c r="J2652" s="342">
        <v>1346.21</v>
      </c>
      <c r="K2652" s="342">
        <v>37.4</v>
      </c>
      <c r="L2652" s="357">
        <f>IF(207.46=0, "-", 1616.02/207.46)</f>
        <v>7.7895497927311288</v>
      </c>
      <c r="M2652" s="357">
        <v>13.05</v>
      </c>
      <c r="N2652" s="357">
        <f>IF(184.8=0, "-", 1346.21/184.8)</f>
        <v>7.2846861471861466</v>
      </c>
      <c r="O2652" s="357">
        <f>IF(4.85=0, "-", 37.4/4.85)</f>
        <v>7.7113402061855671</v>
      </c>
      <c r="P2652" s="343"/>
      <c r="Q2652" s="343"/>
      <c r="R2652" s="343">
        <f ca="1">IF(ISERROR(VALUE(TRIM(INDIRECT(ADDRESS(ROW()-1, COLUMN(A2289)))))), INDIRECT(ADDRESS(ROW()-2, COLUMN(R2289)))+1, INDIRECT(ADDRESS(ROW()-1, COLUMN(R2289))))</f>
        <v>1</v>
      </c>
    </row>
    <row r="2653" spans="1:18" ht="24">
      <c r="A2653" s="339">
        <v>66.322999999999993</v>
      </c>
      <c r="B2653" s="334" t="s">
        <v>4733</v>
      </c>
      <c r="C2653" s="340" t="s">
        <v>4734</v>
      </c>
      <c r="D2653" s="341">
        <v>283.11</v>
      </c>
      <c r="E2653" s="341">
        <v>24.47</v>
      </c>
      <c r="F2653" s="341">
        <v>253.79</v>
      </c>
      <c r="G2653" s="341">
        <v>4.8499999999999996</v>
      </c>
      <c r="H2653" s="342">
        <v>2203.6</v>
      </c>
      <c r="I2653" s="342">
        <f>319.37</f>
        <v>319.37</v>
      </c>
      <c r="J2653" s="342">
        <v>1846.83</v>
      </c>
      <c r="K2653" s="342">
        <v>37.4</v>
      </c>
      <c r="L2653" s="357">
        <f>IF(283.11=0, "-", 2203.6/283.11)</f>
        <v>7.7835470311892898</v>
      </c>
      <c r="M2653" s="357">
        <v>13.05</v>
      </c>
      <c r="N2653" s="357">
        <f>IF(253.79=0, "-", 1846.83/253.79)</f>
        <v>7.2770006698451475</v>
      </c>
      <c r="O2653" s="357">
        <f>IF(4.85=0, "-", 37.4/4.85)</f>
        <v>7.7113402061855671</v>
      </c>
      <c r="P2653" s="343"/>
      <c r="Q2653" s="343"/>
      <c r="R2653" s="343">
        <f ca="1">IF(ISERROR(VALUE(TRIM(INDIRECT(ADDRESS(ROW()-1, COLUMN(A2289)))))), INDIRECT(ADDRESS(ROW()-2, COLUMN(R2289)))+1, INDIRECT(ADDRESS(ROW()-1, COLUMN(R2289))))</f>
        <v>1</v>
      </c>
    </row>
    <row r="2654" spans="1:18" ht="12.75">
      <c r="A2654" s="426" t="s">
        <v>4735</v>
      </c>
      <c r="B2654" s="427"/>
      <c r="C2654" s="427"/>
      <c r="D2654" s="427"/>
      <c r="E2654" s="427"/>
      <c r="F2654" s="427"/>
      <c r="G2654" s="427"/>
      <c r="H2654" s="427"/>
      <c r="I2654" s="427"/>
      <c r="J2654" s="427"/>
      <c r="K2654" s="427"/>
      <c r="L2654" s="427"/>
      <c r="M2654" s="427"/>
      <c r="N2654" s="427"/>
      <c r="O2654" s="427"/>
      <c r="P2654" s="427"/>
      <c r="Q2654" s="427"/>
      <c r="R2654" s="427"/>
    </row>
    <row r="2655" spans="1:18" ht="24">
      <c r="A2655" s="339">
        <v>66.323999999999998</v>
      </c>
      <c r="B2655" s="334" t="s">
        <v>4736</v>
      </c>
      <c r="C2655" s="340" t="s">
        <v>4737</v>
      </c>
      <c r="D2655" s="341">
        <v>1660.58</v>
      </c>
      <c r="E2655" s="341">
        <v>52.05</v>
      </c>
      <c r="F2655" s="341">
        <v>160.5</v>
      </c>
      <c r="G2655" s="341">
        <v>1448.03</v>
      </c>
      <c r="H2655" s="342">
        <v>5884.47</v>
      </c>
      <c r="I2655" s="342">
        <f>679.23</f>
        <v>679.23</v>
      </c>
      <c r="J2655" s="342">
        <v>811.89</v>
      </c>
      <c r="K2655" s="342">
        <v>4393.3500000000004</v>
      </c>
      <c r="L2655" s="357">
        <f>IF(1660.58=0, "-", 5884.47/1660.58)</f>
        <v>3.5436233123366536</v>
      </c>
      <c r="M2655" s="357">
        <v>13.05</v>
      </c>
      <c r="N2655" s="357">
        <f>IF(160.5=0, "-", 811.89/160.5)</f>
        <v>5.0585046728971959</v>
      </c>
      <c r="O2655" s="357">
        <f>IF(1448.03=0, "-", 4393.35/1448.03)</f>
        <v>3.034018632210659</v>
      </c>
      <c r="P2655" s="343"/>
      <c r="Q2655" s="343"/>
      <c r="R2655" s="343">
        <f ca="1">IF(ISERROR(VALUE(TRIM(INDIRECT(ADDRESS(ROW()-1, COLUMN(A2289)))))), INDIRECT(ADDRESS(ROW()-2, COLUMN(R2289)))+1, INDIRECT(ADDRESS(ROW()-1, COLUMN(R2289))))</f>
        <v>2</v>
      </c>
    </row>
    <row r="2656" spans="1:18" ht="24">
      <c r="A2656" s="339">
        <v>66.325000000000003</v>
      </c>
      <c r="B2656" s="334" t="s">
        <v>4738</v>
      </c>
      <c r="C2656" s="340" t="s">
        <v>4739</v>
      </c>
      <c r="D2656" s="341">
        <v>1886</v>
      </c>
      <c r="E2656" s="341">
        <v>98.81</v>
      </c>
      <c r="F2656" s="341">
        <v>161.55000000000001</v>
      </c>
      <c r="G2656" s="341">
        <v>1625.64</v>
      </c>
      <c r="H2656" s="342">
        <v>6983.19</v>
      </c>
      <c r="I2656" s="342">
        <f>1289.48</f>
        <v>1289.48</v>
      </c>
      <c r="J2656" s="342">
        <v>817.2</v>
      </c>
      <c r="K2656" s="342">
        <v>4876.51</v>
      </c>
      <c r="L2656" s="357">
        <f>IF(1886=0, "-", 6983.19/1886)</f>
        <v>3.7026458112407208</v>
      </c>
      <c r="M2656" s="357">
        <v>13.05</v>
      </c>
      <c r="N2656" s="357">
        <f>IF(161.55=0, "-", 817.2/161.55)</f>
        <v>5.0584958217270195</v>
      </c>
      <c r="O2656" s="357">
        <f>IF(1625.64=0, "-", 4876.51/1625.64)</f>
        <v>2.9997477916389852</v>
      </c>
      <c r="P2656" s="343"/>
      <c r="Q2656" s="343"/>
      <c r="R2656" s="343">
        <f ca="1">IF(ISERROR(VALUE(TRIM(INDIRECT(ADDRESS(ROW()-1, COLUMN(A2289)))))), INDIRECT(ADDRESS(ROW()-2, COLUMN(R2289)))+1, INDIRECT(ADDRESS(ROW()-1, COLUMN(R2289))))</f>
        <v>2</v>
      </c>
    </row>
    <row r="2657" spans="1:18" ht="24">
      <c r="A2657" s="339">
        <v>66.325999999999993</v>
      </c>
      <c r="B2657" s="334" t="s">
        <v>4740</v>
      </c>
      <c r="C2657" s="340" t="s">
        <v>4741</v>
      </c>
      <c r="D2657" s="341">
        <v>2097.7800000000002</v>
      </c>
      <c r="E2657" s="341">
        <v>143.51</v>
      </c>
      <c r="F2657" s="341">
        <v>328.63</v>
      </c>
      <c r="G2657" s="341">
        <v>1625.64</v>
      </c>
      <c r="H2657" s="342">
        <v>9255.7000000000007</v>
      </c>
      <c r="I2657" s="342">
        <f>1872.75</f>
        <v>1872.75</v>
      </c>
      <c r="J2657" s="342">
        <v>2506.44</v>
      </c>
      <c r="K2657" s="342">
        <v>4876.51</v>
      </c>
      <c r="L2657" s="357">
        <f>IF(2097.78=0, "-", 9255.7/2097.78)</f>
        <v>4.4121404532410455</v>
      </c>
      <c r="M2657" s="357">
        <v>13.05</v>
      </c>
      <c r="N2657" s="357">
        <f>IF(328.63=0, "-", 2506.44/328.63)</f>
        <v>7.6269360679183276</v>
      </c>
      <c r="O2657" s="357">
        <f>IF(1625.64=0, "-", 4876.51/1625.64)</f>
        <v>2.9997477916389852</v>
      </c>
      <c r="P2657" s="343"/>
      <c r="Q2657" s="343"/>
      <c r="R2657" s="343">
        <f ca="1">IF(ISERROR(VALUE(TRIM(INDIRECT(ADDRESS(ROW()-1, COLUMN(A2289)))))), INDIRECT(ADDRESS(ROW()-2, COLUMN(R2289)))+1, INDIRECT(ADDRESS(ROW()-1, COLUMN(R2289))))</f>
        <v>2</v>
      </c>
    </row>
    <row r="2658" spans="1:18" ht="24">
      <c r="A2658" s="339">
        <v>66.326999999999998</v>
      </c>
      <c r="B2658" s="334" t="s">
        <v>4742</v>
      </c>
      <c r="C2658" s="340" t="s">
        <v>4743</v>
      </c>
      <c r="D2658" s="341">
        <v>3687.55</v>
      </c>
      <c r="E2658" s="341">
        <v>248.18</v>
      </c>
      <c r="F2658" s="341">
        <v>625.79999999999995</v>
      </c>
      <c r="G2658" s="341">
        <v>2813.57</v>
      </c>
      <c r="H2658" s="342">
        <v>16017.09</v>
      </c>
      <c r="I2658" s="342">
        <f>3238.7</f>
        <v>3238.7</v>
      </c>
      <c r="J2658" s="342">
        <v>4853.66</v>
      </c>
      <c r="K2658" s="342">
        <v>7924.73</v>
      </c>
      <c r="L2658" s="357">
        <f>IF(3687.55=0, "-", 16017.09/3687.55)</f>
        <v>4.3435587314070316</v>
      </c>
      <c r="M2658" s="357">
        <v>13.05</v>
      </c>
      <c r="N2658" s="357">
        <f>IF(625.8=0, "-", 4853.66/625.8)</f>
        <v>7.7559284116331098</v>
      </c>
      <c r="O2658" s="357">
        <f>IF(2813.57=0, "-", 7924.73/2813.57)</f>
        <v>2.8166102140696694</v>
      </c>
      <c r="P2658" s="343"/>
      <c r="Q2658" s="343"/>
      <c r="R2658" s="343">
        <f ca="1">IF(ISERROR(VALUE(TRIM(INDIRECT(ADDRESS(ROW()-1, COLUMN(A2289)))))), INDIRECT(ADDRESS(ROW()-2, COLUMN(R2289)))+1, INDIRECT(ADDRESS(ROW()-1, COLUMN(R2289))))</f>
        <v>2</v>
      </c>
    </row>
    <row r="2659" spans="1:18" ht="24">
      <c r="A2659" s="339">
        <v>66.328000000000003</v>
      </c>
      <c r="B2659" s="334" t="s">
        <v>4744</v>
      </c>
      <c r="C2659" s="340" t="s">
        <v>4745</v>
      </c>
      <c r="D2659" s="341">
        <v>5030.8900000000003</v>
      </c>
      <c r="E2659" s="341">
        <v>498.78</v>
      </c>
      <c r="F2659" s="341">
        <v>1015.18</v>
      </c>
      <c r="G2659" s="341">
        <v>3516.93</v>
      </c>
      <c r="H2659" s="342">
        <v>26702.04</v>
      </c>
      <c r="I2659" s="342">
        <f>6508.9</f>
        <v>6508.9</v>
      </c>
      <c r="J2659" s="342">
        <v>7929.34</v>
      </c>
      <c r="K2659" s="342">
        <v>12263.8</v>
      </c>
      <c r="L2659" s="357">
        <f>IF(5030.89=0, "-", 26702.04/5030.89)</f>
        <v>5.3076175388450153</v>
      </c>
      <c r="M2659" s="357">
        <v>13.05</v>
      </c>
      <c r="N2659" s="357">
        <f>IF(1015.18=0, "-", 7929.34/1015.18)</f>
        <v>7.8107724738470035</v>
      </c>
      <c r="O2659" s="357">
        <f>IF(3516.93=0, "-", 12263.8/3516.93)</f>
        <v>3.48707537539843</v>
      </c>
      <c r="P2659" s="343"/>
      <c r="Q2659" s="343"/>
      <c r="R2659" s="343">
        <f ca="1">IF(ISERROR(VALUE(TRIM(INDIRECT(ADDRESS(ROW()-1, COLUMN(A2289)))))), INDIRECT(ADDRESS(ROW()-2, COLUMN(R2289)))+1, INDIRECT(ADDRESS(ROW()-1, COLUMN(R2289))))</f>
        <v>2</v>
      </c>
    </row>
    <row r="2660" spans="1:18">
      <c r="A2660" s="339">
        <v>66.328999999999994</v>
      </c>
      <c r="B2660" s="334" t="s">
        <v>4746</v>
      </c>
      <c r="C2660" s="340" t="s">
        <v>4747</v>
      </c>
      <c r="D2660" s="341">
        <v>274.89999999999998</v>
      </c>
      <c r="E2660" s="341">
        <v>48.95</v>
      </c>
      <c r="F2660" s="341">
        <v>225.95</v>
      </c>
      <c r="G2660" s="341"/>
      <c r="H2660" s="342">
        <v>2104.2800000000002</v>
      </c>
      <c r="I2660" s="342">
        <f>638.74</f>
        <v>638.74</v>
      </c>
      <c r="J2660" s="342">
        <v>1465.54</v>
      </c>
      <c r="K2660" s="342"/>
      <c r="L2660" s="357">
        <f>IF(274.9=0, "-", 2104.28/274.9)</f>
        <v>7.6547108039287028</v>
      </c>
      <c r="M2660" s="357">
        <v>13.05</v>
      </c>
      <c r="N2660" s="357">
        <f>IF(225.95=0, "-", 1465.54/225.95)</f>
        <v>6.4861252489488823</v>
      </c>
      <c r="O2660" s="357" t="str">
        <f>IF(0=0, "-", 0/0)</f>
        <v>-</v>
      </c>
      <c r="P2660" s="343"/>
      <c r="Q2660" s="343"/>
      <c r="R2660" s="343">
        <f ca="1">IF(ISERROR(VALUE(TRIM(INDIRECT(ADDRESS(ROW()-1, COLUMN(A2289)))))), INDIRECT(ADDRESS(ROW()-2, COLUMN(R2289)))+1, INDIRECT(ADDRESS(ROW()-1, COLUMN(R2289))))</f>
        <v>2</v>
      </c>
    </row>
    <row r="2661" spans="1:18" ht="12.75">
      <c r="A2661" s="426" t="s">
        <v>4748</v>
      </c>
      <c r="B2661" s="427"/>
      <c r="C2661" s="427"/>
      <c r="D2661" s="427"/>
      <c r="E2661" s="427"/>
      <c r="F2661" s="427"/>
      <c r="G2661" s="427"/>
      <c r="H2661" s="427"/>
      <c r="I2661" s="427"/>
      <c r="J2661" s="427"/>
      <c r="K2661" s="427"/>
      <c r="L2661" s="427"/>
      <c r="M2661" s="427"/>
      <c r="N2661" s="427"/>
      <c r="O2661" s="427"/>
      <c r="P2661" s="427"/>
      <c r="Q2661" s="427"/>
      <c r="R2661" s="427"/>
    </row>
    <row r="2662" spans="1:18" ht="12.75">
      <c r="A2662" s="426" t="s">
        <v>4749</v>
      </c>
      <c r="B2662" s="427"/>
      <c r="C2662" s="427"/>
      <c r="D2662" s="427"/>
      <c r="E2662" s="427"/>
      <c r="F2662" s="427"/>
      <c r="G2662" s="427"/>
      <c r="H2662" s="427"/>
      <c r="I2662" s="427"/>
      <c r="J2662" s="427"/>
      <c r="K2662" s="427"/>
      <c r="L2662" s="427"/>
      <c r="M2662" s="427"/>
      <c r="N2662" s="427"/>
      <c r="O2662" s="427"/>
      <c r="P2662" s="427"/>
      <c r="Q2662" s="427"/>
      <c r="R2662" s="427"/>
    </row>
    <row r="2663" spans="1:18" ht="48">
      <c r="A2663" s="339">
        <v>66.33</v>
      </c>
      <c r="B2663" s="334" t="s">
        <v>4750</v>
      </c>
      <c r="C2663" s="340" t="s">
        <v>4751</v>
      </c>
      <c r="D2663" s="341">
        <v>182949.77</v>
      </c>
      <c r="E2663" s="341">
        <v>29986.43</v>
      </c>
      <c r="F2663" s="341">
        <v>114486.66</v>
      </c>
      <c r="G2663" s="341">
        <v>38476.68</v>
      </c>
      <c r="H2663" s="342">
        <v>1053276.1499999999</v>
      </c>
      <c r="I2663" s="342">
        <f>391316.52</f>
        <v>391316.52</v>
      </c>
      <c r="J2663" s="342">
        <v>546406.17000000004</v>
      </c>
      <c r="K2663" s="342">
        <v>115553.46</v>
      </c>
      <c r="L2663" s="357">
        <f>IF(182949.77=0, "-", 1053276.15/182949.77)</f>
        <v>5.7571876149393351</v>
      </c>
      <c r="M2663" s="357">
        <v>13.05</v>
      </c>
      <c r="N2663" s="357">
        <f>IF(114486.66=0, "-", 546406.17/114486.66)</f>
        <v>4.7726623346335728</v>
      </c>
      <c r="O2663" s="357">
        <f>IF(38476.68=0, "-", 115553.46/38476.68)</f>
        <v>3.0032076572095101</v>
      </c>
      <c r="P2663" s="343"/>
      <c r="Q2663" s="343"/>
      <c r="R2663" s="343">
        <f ca="1">IF(ISERROR(VALUE(TRIM(INDIRECT(ADDRESS(ROW()-1, COLUMN(A2289)))))), INDIRECT(ADDRESS(ROW()-2, COLUMN(R2289)))+1, INDIRECT(ADDRESS(ROW()-1, COLUMN(R2289))))</f>
        <v>1</v>
      </c>
    </row>
    <row r="2664" spans="1:18" ht="48">
      <c r="A2664" s="339">
        <v>66.331000000000003</v>
      </c>
      <c r="B2664" s="334" t="s">
        <v>4752</v>
      </c>
      <c r="C2664" s="340" t="s">
        <v>4753</v>
      </c>
      <c r="D2664" s="341">
        <v>214755.94</v>
      </c>
      <c r="E2664" s="341">
        <v>32133.65</v>
      </c>
      <c r="F2664" s="341">
        <v>109787.83</v>
      </c>
      <c r="G2664" s="341">
        <v>72834.460000000006</v>
      </c>
      <c r="H2664" s="342">
        <v>1158457.76</v>
      </c>
      <c r="I2664" s="342">
        <f>419337.29</f>
        <v>419337.29</v>
      </c>
      <c r="J2664" s="342">
        <v>528570.91</v>
      </c>
      <c r="K2664" s="342">
        <v>210549.56</v>
      </c>
      <c r="L2664" s="357">
        <f>IF(214755.94=0, "-", 1158457.76/214755.94)</f>
        <v>5.39429903545392</v>
      </c>
      <c r="M2664" s="357">
        <v>13.05</v>
      </c>
      <c r="N2664" s="357">
        <f>IF(109787.83=0, "-", 528570.91/109787.83)</f>
        <v>4.8144763404104083</v>
      </c>
      <c r="O2664" s="357">
        <f>IF(72834.46=0, "-", 210549.56/72834.46)</f>
        <v>2.8907959226992275</v>
      </c>
      <c r="P2664" s="343"/>
      <c r="Q2664" s="343"/>
      <c r="R2664" s="343">
        <f ca="1">IF(ISERROR(VALUE(TRIM(INDIRECT(ADDRESS(ROW()-1, COLUMN(A2289)))))), INDIRECT(ADDRESS(ROW()-2, COLUMN(R2289)))+1, INDIRECT(ADDRESS(ROW()-1, COLUMN(R2289))))</f>
        <v>1</v>
      </c>
    </row>
    <row r="2665" spans="1:18" ht="48">
      <c r="A2665" s="339">
        <v>66.331999999999994</v>
      </c>
      <c r="B2665" s="334" t="s">
        <v>4754</v>
      </c>
      <c r="C2665" s="340" t="s">
        <v>4755</v>
      </c>
      <c r="D2665" s="341">
        <v>166936.04</v>
      </c>
      <c r="E2665" s="341">
        <v>28949.55</v>
      </c>
      <c r="F2665" s="341">
        <v>99509.81</v>
      </c>
      <c r="G2665" s="341">
        <v>38476.68</v>
      </c>
      <c r="H2665" s="342">
        <v>982798.05</v>
      </c>
      <c r="I2665" s="342">
        <f>377785.52</f>
        <v>377785.52</v>
      </c>
      <c r="J2665" s="342">
        <v>489459.07</v>
      </c>
      <c r="K2665" s="342">
        <v>115553.46</v>
      </c>
      <c r="L2665" s="357">
        <f>IF(166936.04=0, "-", 982798.05/166936.04)</f>
        <v>5.887273053799527</v>
      </c>
      <c r="M2665" s="357">
        <v>13.05</v>
      </c>
      <c r="N2665" s="357">
        <f>IF(99509.81=0, "-", 489459.07/99509.81)</f>
        <v>4.9187016837837394</v>
      </c>
      <c r="O2665" s="357">
        <f>IF(38476.68=0, "-", 115553.46/38476.68)</f>
        <v>3.0032076572095101</v>
      </c>
      <c r="P2665" s="343"/>
      <c r="Q2665" s="343"/>
      <c r="R2665" s="343">
        <f ca="1">IF(ISERROR(VALUE(TRIM(INDIRECT(ADDRESS(ROW()-1, COLUMN(A2289)))))), INDIRECT(ADDRESS(ROW()-2, COLUMN(R2289)))+1, INDIRECT(ADDRESS(ROW()-1, COLUMN(R2289))))</f>
        <v>1</v>
      </c>
    </row>
    <row r="2666" spans="1:18" ht="60">
      <c r="A2666" s="339">
        <v>66.332999999999998</v>
      </c>
      <c r="B2666" s="334" t="s">
        <v>4756</v>
      </c>
      <c r="C2666" s="340" t="s">
        <v>4757</v>
      </c>
      <c r="D2666" s="341">
        <v>205535.08</v>
      </c>
      <c r="E2666" s="341">
        <v>31323.11</v>
      </c>
      <c r="F2666" s="341">
        <v>101377.51</v>
      </c>
      <c r="G2666" s="341">
        <v>72834.460000000006</v>
      </c>
      <c r="H2666" s="342">
        <v>1118391.1000000001</v>
      </c>
      <c r="I2666" s="342">
        <f>408759.91</f>
        <v>408759.91</v>
      </c>
      <c r="J2666" s="342">
        <v>499081.63</v>
      </c>
      <c r="K2666" s="342">
        <v>210549.56</v>
      </c>
      <c r="L2666" s="357">
        <f>IF(205535.08=0, "-", 1118391.1/205535.08)</f>
        <v>5.4413635862063066</v>
      </c>
      <c r="M2666" s="357">
        <v>13.05</v>
      </c>
      <c r="N2666" s="357">
        <f>IF(101377.51=0, "-", 499081.63/101377.51)</f>
        <v>4.9230014625531844</v>
      </c>
      <c r="O2666" s="357">
        <f>IF(72834.46=0, "-", 210549.56/72834.46)</f>
        <v>2.8907959226992275</v>
      </c>
      <c r="P2666" s="343"/>
      <c r="Q2666" s="343"/>
      <c r="R2666" s="343">
        <f ca="1">IF(ISERROR(VALUE(TRIM(INDIRECT(ADDRESS(ROW()-1, COLUMN(A2289)))))), INDIRECT(ADDRESS(ROW()-2, COLUMN(R2289)))+1, INDIRECT(ADDRESS(ROW()-1, COLUMN(R2289))))</f>
        <v>1</v>
      </c>
    </row>
    <row r="2667" spans="1:18" ht="36">
      <c r="A2667" s="339">
        <v>66.334000000000003</v>
      </c>
      <c r="B2667" s="334" t="s">
        <v>4758</v>
      </c>
      <c r="C2667" s="340" t="s">
        <v>4759</v>
      </c>
      <c r="D2667" s="341">
        <v>5482.59</v>
      </c>
      <c r="E2667" s="341">
        <v>1822.53</v>
      </c>
      <c r="F2667" s="341">
        <v>2657.87</v>
      </c>
      <c r="G2667" s="341">
        <v>1002.19</v>
      </c>
      <c r="H2667" s="342">
        <v>45459.39</v>
      </c>
      <c r="I2667" s="342">
        <f>23783.63</f>
        <v>23783.63</v>
      </c>
      <c r="J2667" s="342">
        <v>15362.17</v>
      </c>
      <c r="K2667" s="342">
        <v>6313.59</v>
      </c>
      <c r="L2667" s="357">
        <f>IF(5482.59=0, "-", 45459.39/5482.59)</f>
        <v>8.2915902885315145</v>
      </c>
      <c r="M2667" s="357">
        <v>13.05</v>
      </c>
      <c r="N2667" s="357">
        <f>IF(2657.87=0, "-", 15362.17/2657.87)</f>
        <v>5.7798801295774442</v>
      </c>
      <c r="O2667" s="357">
        <f>IF(1002.19=0, "-", 6313.59/1002.19)</f>
        <v>6.2997934523393768</v>
      </c>
      <c r="P2667" s="343"/>
      <c r="Q2667" s="343"/>
      <c r="R2667" s="343">
        <f ca="1">IF(ISERROR(VALUE(TRIM(INDIRECT(ADDRESS(ROW()-1, COLUMN(A2289)))))), INDIRECT(ADDRESS(ROW()-2, COLUMN(R2289)))+1, INDIRECT(ADDRESS(ROW()-1, COLUMN(R2289))))</f>
        <v>1</v>
      </c>
    </row>
    <row r="2668" spans="1:18" ht="12.75">
      <c r="A2668" s="426" t="s">
        <v>4760</v>
      </c>
      <c r="B2668" s="427"/>
      <c r="C2668" s="427"/>
      <c r="D2668" s="427"/>
      <c r="E2668" s="427"/>
      <c r="F2668" s="427"/>
      <c r="G2668" s="427"/>
      <c r="H2668" s="427"/>
      <c r="I2668" s="427"/>
      <c r="J2668" s="427"/>
      <c r="K2668" s="427"/>
      <c r="L2668" s="427"/>
      <c r="M2668" s="427"/>
      <c r="N2668" s="427"/>
      <c r="O2668" s="427"/>
      <c r="P2668" s="427"/>
      <c r="Q2668" s="427"/>
      <c r="R2668" s="427"/>
    </row>
    <row r="2669" spans="1:18" ht="24">
      <c r="A2669" s="339">
        <v>66.334999999999994</v>
      </c>
      <c r="B2669" s="334" t="s">
        <v>4761</v>
      </c>
      <c r="C2669" s="340" t="s">
        <v>4762</v>
      </c>
      <c r="D2669" s="341">
        <v>230.47</v>
      </c>
      <c r="E2669" s="341">
        <v>31.48</v>
      </c>
      <c r="F2669" s="341">
        <v>87.63</v>
      </c>
      <c r="G2669" s="341">
        <v>111.36</v>
      </c>
      <c r="H2669" s="342">
        <v>1863.8</v>
      </c>
      <c r="I2669" s="342">
        <f>410.77</f>
        <v>410.77</v>
      </c>
      <c r="J2669" s="342">
        <v>623.71</v>
      </c>
      <c r="K2669" s="342">
        <v>829.32</v>
      </c>
      <c r="L2669" s="357">
        <f>IF(230.47=0, "-", 1863.8/230.47)</f>
        <v>8.0869527487308535</v>
      </c>
      <c r="M2669" s="357">
        <v>13.05</v>
      </c>
      <c r="N2669" s="357">
        <f>IF(87.63=0, "-", 623.71/87.63)</f>
        <v>7.1175396553691668</v>
      </c>
      <c r="O2669" s="357">
        <f>IF(111.36=0, "-", 829.32/111.36)</f>
        <v>7.4471982758620694</v>
      </c>
      <c r="P2669" s="343"/>
      <c r="Q2669" s="343"/>
      <c r="R2669" s="343">
        <f ca="1">IF(ISERROR(VALUE(TRIM(INDIRECT(ADDRESS(ROW()-1, COLUMN(A2289)))))), INDIRECT(ADDRESS(ROW()-2, COLUMN(R2289)))+1, INDIRECT(ADDRESS(ROW()-1, COLUMN(R2289))))</f>
        <v>2</v>
      </c>
    </row>
    <row r="2670" spans="1:18" ht="24">
      <c r="A2670" s="339">
        <v>66.335999999999999</v>
      </c>
      <c r="B2670" s="334" t="s">
        <v>4763</v>
      </c>
      <c r="C2670" s="340" t="s">
        <v>4764</v>
      </c>
      <c r="D2670" s="341">
        <v>726.4</v>
      </c>
      <c r="E2670" s="341">
        <v>24.65</v>
      </c>
      <c r="F2670" s="341">
        <v>87.63</v>
      </c>
      <c r="G2670" s="341">
        <v>614.12</v>
      </c>
      <c r="H2670" s="342">
        <v>4976.91</v>
      </c>
      <c r="I2670" s="342">
        <f>321.7</f>
        <v>321.7</v>
      </c>
      <c r="J2670" s="342">
        <v>623.71</v>
      </c>
      <c r="K2670" s="342">
        <v>4031.5</v>
      </c>
      <c r="L2670" s="357">
        <f>IF(726.4=0, "-", 4976.91/726.4)</f>
        <v>6.8514730176211458</v>
      </c>
      <c r="M2670" s="357">
        <v>13.05</v>
      </c>
      <c r="N2670" s="357">
        <f>IF(87.63=0, "-", 623.71/87.63)</f>
        <v>7.1175396553691668</v>
      </c>
      <c r="O2670" s="357">
        <f>IF(614.12=0, "-", 4031.5/614.12)</f>
        <v>6.5646779131114439</v>
      </c>
      <c r="P2670" s="343"/>
      <c r="Q2670" s="343"/>
      <c r="R2670" s="343">
        <f ca="1">IF(ISERROR(VALUE(TRIM(INDIRECT(ADDRESS(ROW()-1, COLUMN(A2289)))))), INDIRECT(ADDRESS(ROW()-2, COLUMN(R2289)))+1, INDIRECT(ADDRESS(ROW()-1, COLUMN(R2289))))</f>
        <v>2</v>
      </c>
    </row>
    <row r="2671" spans="1:18" ht="36">
      <c r="A2671" s="339">
        <v>66.337000000000003</v>
      </c>
      <c r="B2671" s="334" t="s">
        <v>4765</v>
      </c>
      <c r="C2671" s="340" t="s">
        <v>4766</v>
      </c>
      <c r="D2671" s="341">
        <v>683.22</v>
      </c>
      <c r="E2671" s="341">
        <v>24.65</v>
      </c>
      <c r="F2671" s="341">
        <v>87.63</v>
      </c>
      <c r="G2671" s="341">
        <v>570.94000000000005</v>
      </c>
      <c r="H2671" s="342">
        <v>4600.1099999999997</v>
      </c>
      <c r="I2671" s="342">
        <f>321.7</f>
        <v>321.7</v>
      </c>
      <c r="J2671" s="342">
        <v>623.71</v>
      </c>
      <c r="K2671" s="342">
        <v>3654.7</v>
      </c>
      <c r="L2671" s="357">
        <f>IF(683.22=0, "-", 4600.11/683.22)</f>
        <v>6.732984982875208</v>
      </c>
      <c r="M2671" s="357">
        <v>13.05</v>
      </c>
      <c r="N2671" s="357">
        <f>IF(87.63=0, "-", 623.71/87.63)</f>
        <v>7.1175396553691668</v>
      </c>
      <c r="O2671" s="357">
        <f>IF(570.94=0, "-", 3654.7/570.94)</f>
        <v>6.4011980243107844</v>
      </c>
      <c r="P2671" s="343"/>
      <c r="Q2671" s="343"/>
      <c r="R2671" s="343">
        <f ca="1">IF(ISERROR(VALUE(TRIM(INDIRECT(ADDRESS(ROW()-1, COLUMN(A2289)))))), INDIRECT(ADDRESS(ROW()-2, COLUMN(R2289)))+1, INDIRECT(ADDRESS(ROW()-1, COLUMN(R2289))))</f>
        <v>2</v>
      </c>
    </row>
    <row r="2672" spans="1:18" ht="12.75">
      <c r="A2672" s="426" t="s">
        <v>4767</v>
      </c>
      <c r="B2672" s="427"/>
      <c r="C2672" s="427"/>
      <c r="D2672" s="427"/>
      <c r="E2672" s="427"/>
      <c r="F2672" s="427"/>
      <c r="G2672" s="427"/>
      <c r="H2672" s="427"/>
      <c r="I2672" s="427"/>
      <c r="J2672" s="427"/>
      <c r="K2672" s="427"/>
      <c r="L2672" s="427"/>
      <c r="M2672" s="427"/>
      <c r="N2672" s="427"/>
      <c r="O2672" s="427"/>
      <c r="P2672" s="427"/>
      <c r="Q2672" s="427"/>
      <c r="R2672" s="427"/>
    </row>
    <row r="2673" spans="1:18" ht="48">
      <c r="A2673" s="339">
        <v>66.337999999999994</v>
      </c>
      <c r="B2673" s="334" t="s">
        <v>4768</v>
      </c>
      <c r="C2673" s="340" t="s">
        <v>4769</v>
      </c>
      <c r="D2673" s="341">
        <v>144814.94</v>
      </c>
      <c r="E2673" s="341">
        <v>17066.37</v>
      </c>
      <c r="F2673" s="341">
        <v>98624.01</v>
      </c>
      <c r="G2673" s="341">
        <v>29124.560000000001</v>
      </c>
      <c r="H2673" s="342">
        <v>784896.66</v>
      </c>
      <c r="I2673" s="342">
        <f>222712.53</f>
        <v>222712.53</v>
      </c>
      <c r="J2673" s="342">
        <v>476717.92</v>
      </c>
      <c r="K2673" s="342">
        <v>85466.21</v>
      </c>
      <c r="L2673" s="357">
        <f>IF(144814.94=0, "-", 784896.66/144814.94)</f>
        <v>5.4199978261911372</v>
      </c>
      <c r="M2673" s="357">
        <v>13.05</v>
      </c>
      <c r="N2673" s="357">
        <f>IF(98624.01=0, "-", 476717.92/98624.01)</f>
        <v>4.8336902950914284</v>
      </c>
      <c r="O2673" s="357">
        <f>IF(29124.56=0, "-", 85466.21/29124.56)</f>
        <v>2.9345064783811328</v>
      </c>
      <c r="P2673" s="343"/>
      <c r="Q2673" s="343"/>
      <c r="R2673" s="343">
        <f ca="1">IF(ISERROR(VALUE(TRIM(INDIRECT(ADDRESS(ROW()-1, COLUMN(A2289)))))), INDIRECT(ADDRESS(ROW()-2, COLUMN(R2289)))+1, INDIRECT(ADDRESS(ROW()-1, COLUMN(R2289))))</f>
        <v>3</v>
      </c>
    </row>
    <row r="2674" spans="1:18" ht="60">
      <c r="A2674" s="339">
        <v>66.338999999999999</v>
      </c>
      <c r="B2674" s="334" t="s">
        <v>4770</v>
      </c>
      <c r="C2674" s="340" t="s">
        <v>4771</v>
      </c>
      <c r="D2674" s="341">
        <v>148699.74</v>
      </c>
      <c r="E2674" s="341">
        <v>16991.72</v>
      </c>
      <c r="F2674" s="341">
        <v>96542.18</v>
      </c>
      <c r="G2674" s="341">
        <v>35165.839999999997</v>
      </c>
      <c r="H2674" s="342">
        <v>792816.91</v>
      </c>
      <c r="I2674" s="342">
        <f>221738.3</f>
        <v>221738.3</v>
      </c>
      <c r="J2674" s="342">
        <v>468685.06</v>
      </c>
      <c r="K2674" s="342">
        <v>102393.55</v>
      </c>
      <c r="L2674" s="357">
        <f>IF(148699.74=0, "-", 792816.91/148699.74)</f>
        <v>5.3316630546899413</v>
      </c>
      <c r="M2674" s="357">
        <v>13.05</v>
      </c>
      <c r="N2674" s="357">
        <f>IF(96542.18=0, "-", 468685.06/96542.18)</f>
        <v>4.8547180103038903</v>
      </c>
      <c r="O2674" s="357">
        <f>IF(35165.84=0, "-", 102393.55/35165.84)</f>
        <v>2.9117333753437999</v>
      </c>
      <c r="P2674" s="343"/>
      <c r="Q2674" s="343"/>
      <c r="R2674" s="343">
        <f ca="1">IF(ISERROR(VALUE(TRIM(INDIRECT(ADDRESS(ROW()-1, COLUMN(A2289)))))), INDIRECT(ADDRESS(ROW()-2, COLUMN(R2289)))+1, INDIRECT(ADDRESS(ROW()-1, COLUMN(R2289))))</f>
        <v>3</v>
      </c>
    </row>
    <row r="2675" spans="1:18" ht="60">
      <c r="A2675" s="339">
        <v>66.34</v>
      </c>
      <c r="B2675" s="334" t="s">
        <v>4772</v>
      </c>
      <c r="C2675" s="340" t="s">
        <v>4773</v>
      </c>
      <c r="D2675" s="341">
        <v>155248.79999999999</v>
      </c>
      <c r="E2675" s="341">
        <v>16813.97</v>
      </c>
      <c r="F2675" s="341">
        <v>94428.88</v>
      </c>
      <c r="G2675" s="341">
        <v>44005.95</v>
      </c>
      <c r="H2675" s="342">
        <v>806507.22</v>
      </c>
      <c r="I2675" s="342">
        <f>219418.7</f>
        <v>219418.7</v>
      </c>
      <c r="J2675" s="342">
        <v>460493.01</v>
      </c>
      <c r="K2675" s="342">
        <v>126595.51</v>
      </c>
      <c r="L2675" s="357">
        <f>IF(155248.8=0, "-", 806507.22/155248.8)</f>
        <v>5.1949336806468072</v>
      </c>
      <c r="M2675" s="357">
        <v>13.05</v>
      </c>
      <c r="N2675" s="357">
        <f>IF(94428.88=0, "-", 460493.01/94428.88)</f>
        <v>4.876612006835197</v>
      </c>
      <c r="O2675" s="357">
        <f>IF(44005.95=0, "-", 126595.51/44005.95)</f>
        <v>2.8767816624797331</v>
      </c>
      <c r="P2675" s="343"/>
      <c r="Q2675" s="343"/>
      <c r="R2675" s="343">
        <f ca="1">IF(ISERROR(VALUE(TRIM(INDIRECT(ADDRESS(ROW()-1, COLUMN(A2289)))))), INDIRECT(ADDRESS(ROW()-2, COLUMN(R2289)))+1, INDIRECT(ADDRESS(ROW()-1, COLUMN(R2289))))</f>
        <v>3</v>
      </c>
    </row>
    <row r="2676" spans="1:18" ht="60">
      <c r="A2676" s="339">
        <v>66.340999999999994</v>
      </c>
      <c r="B2676" s="334" t="s">
        <v>4774</v>
      </c>
      <c r="C2676" s="340" t="s">
        <v>4775</v>
      </c>
      <c r="D2676" s="341">
        <v>173149.76</v>
      </c>
      <c r="E2676" s="341">
        <v>17770.259999999998</v>
      </c>
      <c r="F2676" s="341">
        <v>100787.66</v>
      </c>
      <c r="G2676" s="341">
        <v>54591.839999999997</v>
      </c>
      <c r="H2676" s="342">
        <v>872606.51</v>
      </c>
      <c r="I2676" s="342">
        <f>231898.14</f>
        <v>231898.14</v>
      </c>
      <c r="J2676" s="342">
        <v>485164.68</v>
      </c>
      <c r="K2676" s="342">
        <v>155543.69</v>
      </c>
      <c r="L2676" s="357">
        <f>IF(173149.76=0, "-", 872606.51/173149.76)</f>
        <v>5.0396056569757874</v>
      </c>
      <c r="M2676" s="357">
        <v>13.05</v>
      </c>
      <c r="N2676" s="357">
        <f>IF(100787.66=0, "-", 485164.68/100787.66)</f>
        <v>4.8137309666679426</v>
      </c>
      <c r="O2676" s="357">
        <f>IF(54591.84=0, "-", 155543.69/54591.84)</f>
        <v>2.8492113473368916</v>
      </c>
      <c r="P2676" s="343"/>
      <c r="Q2676" s="343"/>
      <c r="R2676" s="343">
        <f ca="1">IF(ISERROR(VALUE(TRIM(INDIRECT(ADDRESS(ROW()-1, COLUMN(A2289)))))), INDIRECT(ADDRESS(ROW()-2, COLUMN(R2289)))+1, INDIRECT(ADDRESS(ROW()-1, COLUMN(R2289))))</f>
        <v>3</v>
      </c>
    </row>
    <row r="2677" spans="1:18" ht="48">
      <c r="A2677" s="339">
        <v>66.341999999999999</v>
      </c>
      <c r="B2677" s="334" t="s">
        <v>4776</v>
      </c>
      <c r="C2677" s="340" t="s">
        <v>4777</v>
      </c>
      <c r="D2677" s="341">
        <v>175946.45</v>
      </c>
      <c r="E2677" s="341">
        <v>16648.07</v>
      </c>
      <c r="F2677" s="341">
        <v>92334.46</v>
      </c>
      <c r="G2677" s="341">
        <v>66963.92</v>
      </c>
      <c r="H2677" s="342">
        <v>859078.91</v>
      </c>
      <c r="I2677" s="342">
        <f>217253.74</f>
        <v>217253.74</v>
      </c>
      <c r="J2677" s="342">
        <v>452396.48</v>
      </c>
      <c r="K2677" s="342">
        <v>189428.69</v>
      </c>
      <c r="L2677" s="357">
        <f>IF(175946.45=0, "-", 859078.91/175946.45)</f>
        <v>4.8826157617843382</v>
      </c>
      <c r="M2677" s="357">
        <v>13.05</v>
      </c>
      <c r="N2677" s="357">
        <f>IF(92334.46=0, "-", 452396.48/92334.46)</f>
        <v>4.8995410814120746</v>
      </c>
      <c r="O2677" s="357">
        <f>IF(66963.92=0, "-", 189428.69/66963.92)</f>
        <v>2.8288172197804431</v>
      </c>
      <c r="P2677" s="343"/>
      <c r="Q2677" s="343"/>
      <c r="R2677" s="343">
        <f ca="1">IF(ISERROR(VALUE(TRIM(INDIRECT(ADDRESS(ROW()-1, COLUMN(A2289)))))), INDIRECT(ADDRESS(ROW()-2, COLUMN(R2289)))+1, INDIRECT(ADDRESS(ROW()-1, COLUMN(R2289))))</f>
        <v>3</v>
      </c>
    </row>
    <row r="2678" spans="1:18" ht="48">
      <c r="A2678" s="339">
        <v>66.343000000000004</v>
      </c>
      <c r="B2678" s="334" t="s">
        <v>4778</v>
      </c>
      <c r="C2678" s="340" t="s">
        <v>4779</v>
      </c>
      <c r="D2678" s="341">
        <v>190631.81</v>
      </c>
      <c r="E2678" s="341">
        <v>16105.34</v>
      </c>
      <c r="F2678" s="341">
        <v>90243.19</v>
      </c>
      <c r="G2678" s="341">
        <v>84283.28</v>
      </c>
      <c r="H2678" s="342">
        <v>891328.25</v>
      </c>
      <c r="I2678" s="342">
        <f>210171.22</f>
        <v>210171.22</v>
      </c>
      <c r="J2678" s="342">
        <v>444315.87</v>
      </c>
      <c r="K2678" s="342">
        <v>236841.16</v>
      </c>
      <c r="L2678" s="357">
        <f>IF(190631.81=0, "-", 891328.25/190631.81)</f>
        <v>4.675653292071245</v>
      </c>
      <c r="M2678" s="357">
        <v>13.05</v>
      </c>
      <c r="N2678" s="357">
        <f>IF(90243.19=0, "-", 444315.87/90243.19)</f>
        <v>4.9235390504258545</v>
      </c>
      <c r="O2678" s="357">
        <f>IF(84283.28=0, "-", 236841.16/84283.28)</f>
        <v>2.8100610227793696</v>
      </c>
      <c r="P2678" s="343"/>
      <c r="Q2678" s="343"/>
      <c r="R2678" s="343">
        <f ca="1">IF(ISERROR(VALUE(TRIM(INDIRECT(ADDRESS(ROW()-1, COLUMN(A2289)))))), INDIRECT(ADDRESS(ROW()-2, COLUMN(R2289)))+1, INDIRECT(ADDRESS(ROW()-1, COLUMN(R2289))))</f>
        <v>3</v>
      </c>
    </row>
    <row r="2679" spans="1:18" ht="60">
      <c r="A2679" s="339">
        <v>66.343999999999994</v>
      </c>
      <c r="B2679" s="334" t="s">
        <v>4780</v>
      </c>
      <c r="C2679" s="340" t="s">
        <v>4781</v>
      </c>
      <c r="D2679" s="341">
        <v>150327.17000000001</v>
      </c>
      <c r="E2679" s="341">
        <v>16106.52</v>
      </c>
      <c r="F2679" s="341">
        <v>90221.16</v>
      </c>
      <c r="G2679" s="341">
        <v>43999.49</v>
      </c>
      <c r="H2679" s="342">
        <v>780936.77</v>
      </c>
      <c r="I2679" s="342">
        <f>210186.69</f>
        <v>210186.69</v>
      </c>
      <c r="J2679" s="342">
        <v>444204.43</v>
      </c>
      <c r="K2679" s="342">
        <v>126545.65</v>
      </c>
      <c r="L2679" s="357">
        <f>IF(150327.17=0, "-", 780936.77/150327.17)</f>
        <v>5.1949143325188647</v>
      </c>
      <c r="M2679" s="357">
        <v>13.05</v>
      </c>
      <c r="N2679" s="357">
        <f>IF(90221.16=0, "-", 444204.43/90221.16)</f>
        <v>4.9235060821652032</v>
      </c>
      <c r="O2679" s="357">
        <f>IF(43999.49=0, "-", 126545.65/43999.49)</f>
        <v>2.8760708362756024</v>
      </c>
      <c r="P2679" s="343"/>
      <c r="Q2679" s="343"/>
      <c r="R2679" s="343">
        <f ca="1">IF(ISERROR(VALUE(TRIM(INDIRECT(ADDRESS(ROW()-1, COLUMN(A2289)))))), INDIRECT(ADDRESS(ROW()-2, COLUMN(R2289)))+1, INDIRECT(ADDRESS(ROW()-1, COLUMN(R2289))))</f>
        <v>3</v>
      </c>
    </row>
    <row r="2680" spans="1:18" ht="12.75">
      <c r="A2680" s="426" t="s">
        <v>4782</v>
      </c>
      <c r="B2680" s="427"/>
      <c r="C2680" s="427"/>
      <c r="D2680" s="427"/>
      <c r="E2680" s="427"/>
      <c r="F2680" s="427"/>
      <c r="G2680" s="427"/>
      <c r="H2680" s="427"/>
      <c r="I2680" s="427"/>
      <c r="J2680" s="427"/>
      <c r="K2680" s="427"/>
      <c r="L2680" s="427"/>
      <c r="M2680" s="427"/>
      <c r="N2680" s="427"/>
      <c r="O2680" s="427"/>
      <c r="P2680" s="427"/>
      <c r="Q2680" s="427"/>
      <c r="R2680" s="427"/>
    </row>
    <row r="2681" spans="1:18" ht="24">
      <c r="A2681" s="339">
        <v>66.344999999999999</v>
      </c>
      <c r="B2681" s="334" t="s">
        <v>4783</v>
      </c>
      <c r="C2681" s="340" t="s">
        <v>4784</v>
      </c>
      <c r="D2681" s="341">
        <v>147098.4</v>
      </c>
      <c r="E2681" s="341">
        <v>10379.15</v>
      </c>
      <c r="F2681" s="341">
        <v>60981.38</v>
      </c>
      <c r="G2681" s="341">
        <v>75737.87</v>
      </c>
      <c r="H2681" s="342">
        <v>869309.27</v>
      </c>
      <c r="I2681" s="342">
        <f>135447.91</f>
        <v>135447.91</v>
      </c>
      <c r="J2681" s="342">
        <v>395118.95</v>
      </c>
      <c r="K2681" s="342">
        <v>338742.41</v>
      </c>
      <c r="L2681" s="357">
        <f>IF(147098.4=0, "-", 869309.27/147098.4)</f>
        <v>5.9097126141412826</v>
      </c>
      <c r="M2681" s="357">
        <v>13.05</v>
      </c>
      <c r="N2681" s="357">
        <f>IF(60981.38=0, "-", 395118.95/60981.38)</f>
        <v>6.4793376273216516</v>
      </c>
      <c r="O2681" s="357">
        <f>IF(75737.87=0, "-", 338742.41/75737.87)</f>
        <v>4.4725631972486157</v>
      </c>
      <c r="P2681" s="343"/>
      <c r="Q2681" s="343"/>
      <c r="R2681" s="343">
        <f ca="1">IF(ISERROR(VALUE(TRIM(INDIRECT(ADDRESS(ROW()-1, COLUMN(A2289)))))), INDIRECT(ADDRESS(ROW()-2, COLUMN(R2289)))+1, INDIRECT(ADDRESS(ROW()-1, COLUMN(R2289))))</f>
        <v>4</v>
      </c>
    </row>
    <row r="2682" spans="1:18" ht="12.75">
      <c r="A2682" s="426" t="s">
        <v>4785</v>
      </c>
      <c r="B2682" s="427"/>
      <c r="C2682" s="427"/>
      <c r="D2682" s="427"/>
      <c r="E2682" s="427"/>
      <c r="F2682" s="427"/>
      <c r="G2682" s="427"/>
      <c r="H2682" s="427"/>
      <c r="I2682" s="427"/>
      <c r="J2682" s="427"/>
      <c r="K2682" s="427"/>
      <c r="L2682" s="427"/>
      <c r="M2682" s="427"/>
      <c r="N2682" s="427"/>
      <c r="O2682" s="427"/>
      <c r="P2682" s="427"/>
      <c r="Q2682" s="427"/>
      <c r="R2682" s="427"/>
    </row>
    <row r="2683" spans="1:18" ht="36">
      <c r="A2683" s="339">
        <v>66.346000000000004</v>
      </c>
      <c r="B2683" s="334" t="s">
        <v>4786</v>
      </c>
      <c r="C2683" s="340" t="s">
        <v>4787</v>
      </c>
      <c r="D2683" s="341">
        <v>382683.33</v>
      </c>
      <c r="E2683" s="341">
        <v>13584.58</v>
      </c>
      <c r="F2683" s="341">
        <v>107243.1</v>
      </c>
      <c r="G2683" s="341">
        <v>261855.65</v>
      </c>
      <c r="H2683" s="342">
        <v>1550365.39</v>
      </c>
      <c r="I2683" s="342">
        <f>177282.05</f>
        <v>177282.05</v>
      </c>
      <c r="J2683" s="342">
        <v>674183.46</v>
      </c>
      <c r="K2683" s="342">
        <v>698899.88</v>
      </c>
      <c r="L2683" s="357">
        <f>IF(382683.33=0, "-", 1550365.39/382683.33)</f>
        <v>4.0513010848943951</v>
      </c>
      <c r="M2683" s="357">
        <v>13.05</v>
      </c>
      <c r="N2683" s="357">
        <f>IF(107243.1=0, "-", 674183.46/107243.1)</f>
        <v>6.2864973131138502</v>
      </c>
      <c r="O2683" s="357">
        <f>IF(261855.65=0, "-", 698899.88/261855.65)</f>
        <v>2.6690273056930414</v>
      </c>
      <c r="P2683" s="343"/>
      <c r="Q2683" s="343"/>
      <c r="R2683" s="343">
        <f ca="1">IF(ISERROR(VALUE(TRIM(INDIRECT(ADDRESS(ROW()-1, COLUMN(A2289)))))), INDIRECT(ADDRESS(ROW()-2, COLUMN(R2289)))+1, INDIRECT(ADDRESS(ROW()-1, COLUMN(R2289))))</f>
        <v>5</v>
      </c>
    </row>
    <row r="2684" spans="1:18" ht="36">
      <c r="A2684" s="339">
        <v>66.346999999999994</v>
      </c>
      <c r="B2684" s="334" t="s">
        <v>4788</v>
      </c>
      <c r="C2684" s="340" t="s">
        <v>4789</v>
      </c>
      <c r="D2684" s="341">
        <v>436439.65</v>
      </c>
      <c r="E2684" s="341">
        <v>13781.46</v>
      </c>
      <c r="F2684" s="341">
        <v>109141.46</v>
      </c>
      <c r="G2684" s="341">
        <v>313516.73</v>
      </c>
      <c r="H2684" s="342">
        <v>1703121.22</v>
      </c>
      <c r="I2684" s="342">
        <f>179851.35</f>
        <v>179851.35</v>
      </c>
      <c r="J2684" s="342">
        <v>686413.51</v>
      </c>
      <c r="K2684" s="342">
        <v>836856.36</v>
      </c>
      <c r="L2684" s="357">
        <f>IF(436439.65=0, "-", 1703121.22/436439.65)</f>
        <v>3.9023063555293382</v>
      </c>
      <c r="M2684" s="357">
        <v>13.05</v>
      </c>
      <c r="N2684" s="357">
        <f>IF(109141.46=0, "-", 686413.51/109141.46)</f>
        <v>6.28920952679211</v>
      </c>
      <c r="O2684" s="357">
        <f>IF(313516.73=0, "-", 836856.36/313516.73)</f>
        <v>2.6692558320571922</v>
      </c>
      <c r="P2684" s="343"/>
      <c r="Q2684" s="343"/>
      <c r="R2684" s="343">
        <f ca="1">IF(ISERROR(VALUE(TRIM(INDIRECT(ADDRESS(ROW()-1, COLUMN(A2289)))))), INDIRECT(ADDRESS(ROW()-2, COLUMN(R2289)))+1, INDIRECT(ADDRESS(ROW()-1, COLUMN(R2289))))</f>
        <v>5</v>
      </c>
    </row>
    <row r="2685" spans="1:18" ht="36">
      <c r="A2685" s="339">
        <v>66.347999999999999</v>
      </c>
      <c r="B2685" s="334" t="s">
        <v>4790</v>
      </c>
      <c r="C2685" s="340" t="s">
        <v>4791</v>
      </c>
      <c r="D2685" s="341">
        <v>468812.47</v>
      </c>
      <c r="E2685" s="341">
        <v>13881.78</v>
      </c>
      <c r="F2685" s="341">
        <v>110090.64</v>
      </c>
      <c r="G2685" s="341">
        <v>344840.05</v>
      </c>
      <c r="H2685" s="342">
        <v>1793883.27</v>
      </c>
      <c r="I2685" s="342">
        <f>181160.55</f>
        <v>181160.55</v>
      </c>
      <c r="J2685" s="342">
        <v>692528.54</v>
      </c>
      <c r="K2685" s="342">
        <v>920194.18</v>
      </c>
      <c r="L2685" s="357">
        <f>IF(468812.47=0, "-", 1793883.27/468812.47)</f>
        <v>3.8264410287550588</v>
      </c>
      <c r="M2685" s="357">
        <v>13.05</v>
      </c>
      <c r="N2685" s="357">
        <f>IF(110090.64=0, "-", 692528.54/110090.64)</f>
        <v>6.2905306027833072</v>
      </c>
      <c r="O2685" s="357">
        <f>IF(344840.05=0, "-", 920194.18/344840.05)</f>
        <v>2.6684666702722031</v>
      </c>
      <c r="P2685" s="343"/>
      <c r="Q2685" s="343"/>
      <c r="R2685" s="343">
        <f ca="1">IF(ISERROR(VALUE(TRIM(INDIRECT(ADDRESS(ROW()-1, COLUMN(A2289)))))), INDIRECT(ADDRESS(ROW()-2, COLUMN(R2289)))+1, INDIRECT(ADDRESS(ROW()-1, COLUMN(R2289))))</f>
        <v>5</v>
      </c>
    </row>
    <row r="2686" spans="1:18" ht="36">
      <c r="A2686" s="339">
        <v>66.349000000000004</v>
      </c>
      <c r="B2686" s="334" t="s">
        <v>4792</v>
      </c>
      <c r="C2686" s="340" t="s">
        <v>4793</v>
      </c>
      <c r="D2686" s="341">
        <v>501201.89</v>
      </c>
      <c r="E2686" s="341">
        <v>13984.61</v>
      </c>
      <c r="F2686" s="341">
        <v>111039.82</v>
      </c>
      <c r="G2686" s="341">
        <v>376177.46</v>
      </c>
      <c r="H2686" s="342">
        <v>1884889.23</v>
      </c>
      <c r="I2686" s="342">
        <f>182502.48</f>
        <v>182502.48</v>
      </c>
      <c r="J2686" s="342">
        <v>698643.56</v>
      </c>
      <c r="K2686" s="342">
        <v>1003743.19</v>
      </c>
      <c r="L2686" s="357">
        <f>IF(501201.89=0, "-", 1884889.23/501201.89)</f>
        <v>3.7607384720755941</v>
      </c>
      <c r="M2686" s="357">
        <v>13.05</v>
      </c>
      <c r="N2686" s="357">
        <f>IF(111039.82=0, "-", 698643.56/111039.82)</f>
        <v>6.2918290033251134</v>
      </c>
      <c r="O2686" s="357">
        <f>IF(376177.46=0, "-", 1003743.19/376177.46)</f>
        <v>2.6682704221566063</v>
      </c>
      <c r="P2686" s="343"/>
      <c r="Q2686" s="343"/>
      <c r="R2686" s="343">
        <f ca="1">IF(ISERROR(VALUE(TRIM(INDIRECT(ADDRESS(ROW()-1, COLUMN(A2289)))))), INDIRECT(ADDRESS(ROW()-2, COLUMN(R2289)))+1, INDIRECT(ADDRESS(ROW()-1, COLUMN(R2289))))</f>
        <v>5</v>
      </c>
    </row>
    <row r="2687" spans="1:18" ht="36">
      <c r="A2687" s="339">
        <v>66.349999999999994</v>
      </c>
      <c r="B2687" s="334" t="s">
        <v>4794</v>
      </c>
      <c r="C2687" s="340" t="s">
        <v>4795</v>
      </c>
      <c r="D2687" s="341">
        <v>581352.5</v>
      </c>
      <c r="E2687" s="341">
        <v>14740.77</v>
      </c>
      <c r="F2687" s="341">
        <v>115272.32000000001</v>
      </c>
      <c r="G2687" s="341">
        <v>451339.41</v>
      </c>
      <c r="H2687" s="342">
        <v>2121090.8199999998</v>
      </c>
      <c r="I2687" s="342">
        <f>192370.58</f>
        <v>192370.58</v>
      </c>
      <c r="J2687" s="342">
        <v>725599.9</v>
      </c>
      <c r="K2687" s="342">
        <v>1203120.3400000001</v>
      </c>
      <c r="L2687" s="357">
        <f>IF(581352.5=0, "-", 2121090.82/581352.5)</f>
        <v>3.648545108174472</v>
      </c>
      <c r="M2687" s="357">
        <v>13.05</v>
      </c>
      <c r="N2687" s="357">
        <f>IF(115272.32=0, "-", 725599.9/115272.32)</f>
        <v>6.2946585962701187</v>
      </c>
      <c r="O2687" s="357">
        <f>IF(451339.41=0, "-", 1203120.34/451339.41)</f>
        <v>2.6656664881092484</v>
      </c>
      <c r="P2687" s="343"/>
      <c r="Q2687" s="343"/>
      <c r="R2687" s="343">
        <f ca="1">IF(ISERROR(VALUE(TRIM(INDIRECT(ADDRESS(ROW()-1, COLUMN(A2289)))))), INDIRECT(ADDRESS(ROW()-2, COLUMN(R2289)))+1, INDIRECT(ADDRESS(ROW()-1, COLUMN(R2289))))</f>
        <v>5</v>
      </c>
    </row>
    <row r="2688" spans="1:18" ht="36">
      <c r="A2688" s="339">
        <v>66.350999999999999</v>
      </c>
      <c r="B2688" s="334" t="s">
        <v>4796</v>
      </c>
      <c r="C2688" s="340" t="s">
        <v>4797</v>
      </c>
      <c r="D2688" s="341">
        <v>674547.93</v>
      </c>
      <c r="E2688" s="341">
        <v>14920.09</v>
      </c>
      <c r="F2688" s="341">
        <v>118119.86</v>
      </c>
      <c r="G2688" s="341">
        <v>541507.98</v>
      </c>
      <c r="H2688" s="342">
        <v>2381764.15</v>
      </c>
      <c r="I2688" s="342">
        <f>194710.77</f>
        <v>194710.77</v>
      </c>
      <c r="J2688" s="342">
        <v>743944.97</v>
      </c>
      <c r="K2688" s="342">
        <v>1443108.41</v>
      </c>
      <c r="L2688" s="357">
        <f>IF(674547.93=0, "-", 2381764.15/674547.93)</f>
        <v>3.5309042457516693</v>
      </c>
      <c r="M2688" s="357">
        <v>13.05</v>
      </c>
      <c r="N2688" s="357">
        <f>IF(118119.86=0, "-", 743944.97/118119.86)</f>
        <v>6.2982208918974338</v>
      </c>
      <c r="O2688" s="357">
        <f>IF(541507.98=0, "-", 1443108.41/541507.98)</f>
        <v>2.6649808743354066</v>
      </c>
      <c r="P2688" s="343"/>
      <c r="Q2688" s="343"/>
      <c r="R2688" s="343">
        <f ca="1">IF(ISERROR(VALUE(TRIM(INDIRECT(ADDRESS(ROW()-1, COLUMN(A2289)))))), INDIRECT(ADDRESS(ROW()-2, COLUMN(R2289)))+1, INDIRECT(ADDRESS(ROW()-1, COLUMN(R2289))))</f>
        <v>5</v>
      </c>
    </row>
    <row r="2689" spans="1:18" ht="36">
      <c r="A2689" s="339">
        <v>66.352000000000004</v>
      </c>
      <c r="B2689" s="334" t="s">
        <v>4798</v>
      </c>
      <c r="C2689" s="340" t="s">
        <v>4799</v>
      </c>
      <c r="D2689" s="341">
        <v>886215.26</v>
      </c>
      <c r="E2689" s="341">
        <v>15439.25</v>
      </c>
      <c r="F2689" s="341">
        <v>123634.47</v>
      </c>
      <c r="G2689" s="341">
        <v>747141.54</v>
      </c>
      <c r="H2689" s="342">
        <v>2971926</v>
      </c>
      <c r="I2689" s="342">
        <f>201485.88</f>
        <v>201485.88</v>
      </c>
      <c r="J2689" s="342">
        <v>779159.25</v>
      </c>
      <c r="K2689" s="342">
        <v>1991280.87</v>
      </c>
      <c r="L2689" s="357">
        <f>IF(886215.26=0, "-", 2971926/886215.26)</f>
        <v>3.3535035268970654</v>
      </c>
      <c r="M2689" s="357">
        <v>13.05</v>
      </c>
      <c r="N2689" s="357">
        <f>IF(123634.47=0, "-", 779159.25/123634.47)</f>
        <v>6.3021198699683021</v>
      </c>
      <c r="O2689" s="357">
        <f>IF(747141.54=0, "-", 1991280.87/747141.54)</f>
        <v>2.6651989795668434</v>
      </c>
      <c r="P2689" s="343"/>
      <c r="Q2689" s="343"/>
      <c r="R2689" s="343">
        <f ca="1">IF(ISERROR(VALUE(TRIM(INDIRECT(ADDRESS(ROW()-1, COLUMN(A2289)))))), INDIRECT(ADDRESS(ROW()-2, COLUMN(R2289)))+1, INDIRECT(ADDRESS(ROW()-1, COLUMN(R2289))))</f>
        <v>5</v>
      </c>
    </row>
    <row r="2690" spans="1:18" ht="36">
      <c r="A2690" s="339">
        <v>66.352999999999994</v>
      </c>
      <c r="B2690" s="334" t="s">
        <v>4800</v>
      </c>
      <c r="C2690" s="340" t="s">
        <v>4801</v>
      </c>
      <c r="D2690" s="341">
        <v>1177507.94</v>
      </c>
      <c r="E2690" s="341">
        <v>16264.38</v>
      </c>
      <c r="F2690" s="341">
        <v>130381.59</v>
      </c>
      <c r="G2690" s="341">
        <v>1030861.97</v>
      </c>
      <c r="H2690" s="342">
        <v>3782599.79</v>
      </c>
      <c r="I2690" s="342">
        <f>212254.05</f>
        <v>212254.05</v>
      </c>
      <c r="J2690" s="342">
        <v>822317.74</v>
      </c>
      <c r="K2690" s="342">
        <v>2748028</v>
      </c>
      <c r="L2690" s="357">
        <f>IF(1177507.94=0, "-", 3782599.79/1177507.94)</f>
        <v>3.2123773110183871</v>
      </c>
      <c r="M2690" s="357">
        <v>13.05</v>
      </c>
      <c r="N2690" s="357">
        <f>IF(130381.59=0, "-", 822317.74/130381.59)</f>
        <v>6.3070080676267253</v>
      </c>
      <c r="O2690" s="357">
        <f>IF(1030861.97=0, "-", 2748028/1030861.97)</f>
        <v>2.6657574728457583</v>
      </c>
      <c r="P2690" s="343"/>
      <c r="Q2690" s="343"/>
      <c r="R2690" s="343">
        <f ca="1">IF(ISERROR(VALUE(TRIM(INDIRECT(ADDRESS(ROW()-1, COLUMN(A2289)))))), INDIRECT(ADDRESS(ROW()-2, COLUMN(R2289)))+1, INDIRECT(ADDRESS(ROW()-1, COLUMN(R2289))))</f>
        <v>5</v>
      </c>
    </row>
    <row r="2691" spans="1:18" ht="36">
      <c r="A2691" s="339">
        <v>66.353999999999999</v>
      </c>
      <c r="B2691" s="334" t="s">
        <v>4802</v>
      </c>
      <c r="C2691" s="340" t="s">
        <v>4803</v>
      </c>
      <c r="D2691" s="341">
        <v>1577403.27</v>
      </c>
      <c r="E2691" s="341">
        <v>17071.96</v>
      </c>
      <c r="F2691" s="341">
        <v>137975.03</v>
      </c>
      <c r="G2691" s="341">
        <v>1422356.28</v>
      </c>
      <c r="H2691" s="342">
        <v>4881304.16</v>
      </c>
      <c r="I2691" s="342">
        <f>222793.11</f>
        <v>222793.11</v>
      </c>
      <c r="J2691" s="342">
        <v>871237.94</v>
      </c>
      <c r="K2691" s="342">
        <v>3787273.11</v>
      </c>
      <c r="L2691" s="357">
        <f>IF(1577403.27=0, "-", 4881304.16/1577403.27)</f>
        <v>3.0945188543954267</v>
      </c>
      <c r="M2691" s="357">
        <v>13.05</v>
      </c>
      <c r="N2691" s="357">
        <f>IF(137975.03=0, "-", 871237.94/137975.03)</f>
        <v>6.3144609571746422</v>
      </c>
      <c r="O2691" s="357">
        <f>IF(1422356.28=0, "-", 3787273.11/1422356.28)</f>
        <v>2.6626754233475172</v>
      </c>
      <c r="P2691" s="343"/>
      <c r="Q2691" s="343"/>
      <c r="R2691" s="343">
        <f ca="1">IF(ISERROR(VALUE(TRIM(INDIRECT(ADDRESS(ROW()-1, COLUMN(A2289)))))), INDIRECT(ADDRESS(ROW()-2, COLUMN(R2289)))+1, INDIRECT(ADDRESS(ROW()-1, COLUMN(R2289))))</f>
        <v>5</v>
      </c>
    </row>
    <row r="2692" spans="1:18" ht="36">
      <c r="A2692" s="339">
        <v>66.355000000000004</v>
      </c>
      <c r="B2692" s="334" t="s">
        <v>4804</v>
      </c>
      <c r="C2692" s="340" t="s">
        <v>4805</v>
      </c>
      <c r="D2692" s="341">
        <v>2130312.5</v>
      </c>
      <c r="E2692" s="341">
        <v>18267.02</v>
      </c>
      <c r="F2692" s="341">
        <v>149365.19</v>
      </c>
      <c r="G2692" s="341">
        <v>1962680.29</v>
      </c>
      <c r="H2692" s="342">
        <v>6411604.3200000003</v>
      </c>
      <c r="I2692" s="342">
        <f>238388.96</f>
        <v>238388.96</v>
      </c>
      <c r="J2692" s="342">
        <v>944618.24</v>
      </c>
      <c r="K2692" s="342">
        <v>5228597.12</v>
      </c>
      <c r="L2692" s="357">
        <f>IF(2130312.5=0, "-", 6411604.32/2130312.5)</f>
        <v>3.0097013090802407</v>
      </c>
      <c r="M2692" s="357">
        <v>13.05</v>
      </c>
      <c r="N2692" s="357">
        <f>IF(149365.19=0, "-", 944618.24/149365.19)</f>
        <v>6.3242194516674202</v>
      </c>
      <c r="O2692" s="357">
        <f>IF(1962680.29=0, "-", 5228597.12/1962680.29)</f>
        <v>2.6640085737040748</v>
      </c>
      <c r="P2692" s="343"/>
      <c r="Q2692" s="343"/>
      <c r="R2692" s="343">
        <f ca="1">IF(ISERROR(VALUE(TRIM(INDIRECT(ADDRESS(ROW()-1, COLUMN(A2289)))))), INDIRECT(ADDRESS(ROW()-2, COLUMN(R2289)))+1, INDIRECT(ADDRESS(ROW()-1, COLUMN(R2289))))</f>
        <v>5</v>
      </c>
    </row>
    <row r="2693" spans="1:18" ht="36">
      <c r="A2693" s="339">
        <v>66.355999999999995</v>
      </c>
      <c r="B2693" s="334" t="s">
        <v>4806</v>
      </c>
      <c r="C2693" s="340" t="s">
        <v>4807</v>
      </c>
      <c r="D2693" s="341">
        <v>2898395.11</v>
      </c>
      <c r="E2693" s="341">
        <v>20416.37</v>
      </c>
      <c r="F2693" s="341">
        <v>169733.75</v>
      </c>
      <c r="G2693" s="341">
        <v>2708244.99</v>
      </c>
      <c r="H2693" s="342">
        <v>8553881</v>
      </c>
      <c r="I2693" s="342">
        <f>266438.57</f>
        <v>266438.57</v>
      </c>
      <c r="J2693" s="342">
        <v>1075530.01</v>
      </c>
      <c r="K2693" s="342">
        <v>7211912.4199999999</v>
      </c>
      <c r="L2693" s="357">
        <f>IF(2898395.11=0, "-", 8553881/2898395.11)</f>
        <v>2.9512473887661232</v>
      </c>
      <c r="M2693" s="357">
        <v>13.05</v>
      </c>
      <c r="N2693" s="357">
        <f>IF(169733.75=0, "-", 1075530.01/169733.75)</f>
        <v>6.3365713065315532</v>
      </c>
      <c r="O2693" s="357">
        <f>IF(2708244.99=0, "-", 7211912.42/2708244.99)</f>
        <v>2.6629468333291366</v>
      </c>
      <c r="P2693" s="343"/>
      <c r="Q2693" s="343"/>
      <c r="R2693" s="343">
        <f ca="1">IF(ISERROR(VALUE(TRIM(INDIRECT(ADDRESS(ROW()-1, COLUMN(A2289)))))), INDIRECT(ADDRESS(ROW()-2, COLUMN(R2289)))+1, INDIRECT(ADDRESS(ROW()-1, COLUMN(R2289))))</f>
        <v>5</v>
      </c>
    </row>
    <row r="2694" spans="1:18" ht="36">
      <c r="A2694" s="339">
        <v>66.356999999999999</v>
      </c>
      <c r="B2694" s="334" t="s">
        <v>4808</v>
      </c>
      <c r="C2694" s="340" t="s">
        <v>4809</v>
      </c>
      <c r="D2694" s="341">
        <v>4298858.43</v>
      </c>
      <c r="E2694" s="341">
        <v>24955.85</v>
      </c>
      <c r="F2694" s="341">
        <v>211855.84</v>
      </c>
      <c r="G2694" s="341">
        <v>4062046.74</v>
      </c>
      <c r="H2694" s="342">
        <v>12489490.33</v>
      </c>
      <c r="I2694" s="342">
        <f>325679.87</f>
        <v>325679.87</v>
      </c>
      <c r="J2694" s="342">
        <v>1345964.79</v>
      </c>
      <c r="K2694" s="342">
        <v>10817845.67</v>
      </c>
      <c r="L2694" s="357">
        <f>IF(4298858.43=0, "-", 12489490.33/4298858.43)</f>
        <v>2.9053039390273665</v>
      </c>
      <c r="M2694" s="357">
        <v>13.05</v>
      </c>
      <c r="N2694" s="357">
        <f>IF(211855.84=0, "-", 1345964.79/211855.84)</f>
        <v>6.3532107021453834</v>
      </c>
      <c r="O2694" s="357">
        <f>IF(4062046.74=0, "-", 10817845.67/4062046.74)</f>
        <v>2.6631514510834995</v>
      </c>
      <c r="P2694" s="343"/>
      <c r="Q2694" s="343"/>
      <c r="R2694" s="343">
        <f ca="1">IF(ISERROR(VALUE(TRIM(INDIRECT(ADDRESS(ROW()-1, COLUMN(A2289)))))), INDIRECT(ADDRESS(ROW()-2, COLUMN(R2289)))+1, INDIRECT(ADDRESS(ROW()-1, COLUMN(R2289))))</f>
        <v>5</v>
      </c>
    </row>
    <row r="2695" spans="1:18" ht="36">
      <c r="A2695" s="339">
        <v>66.358000000000004</v>
      </c>
      <c r="B2695" s="334" t="s">
        <v>4810</v>
      </c>
      <c r="C2695" s="340" t="s">
        <v>4811</v>
      </c>
      <c r="D2695" s="341">
        <v>6450500.7400000002</v>
      </c>
      <c r="E2695" s="341">
        <v>30389.439999999999</v>
      </c>
      <c r="F2695" s="341">
        <v>327142.40000000002</v>
      </c>
      <c r="G2695" s="341">
        <v>6092968.9000000004</v>
      </c>
      <c r="H2695" s="342">
        <v>18708086.899999999</v>
      </c>
      <c r="I2695" s="342">
        <f>396589.41</f>
        <v>396589.41</v>
      </c>
      <c r="J2695" s="342">
        <v>2088379.06</v>
      </c>
      <c r="K2695" s="342">
        <v>16223118.43</v>
      </c>
      <c r="L2695" s="357">
        <f>IF(6450500.74=0, "-", 18708086.9/6450500.74)</f>
        <v>2.9002534305577026</v>
      </c>
      <c r="M2695" s="357">
        <v>13.05</v>
      </c>
      <c r="N2695" s="357">
        <f>IF(327142.4=0, "-", 2088379.06/327142.4)</f>
        <v>6.3837003702363253</v>
      </c>
      <c r="O2695" s="357">
        <f>IF(6092968.9=0, "-", 16223118.43/6092968.9)</f>
        <v>2.6625966251034039</v>
      </c>
      <c r="P2695" s="343"/>
      <c r="Q2695" s="343"/>
      <c r="R2695" s="343">
        <f ca="1">IF(ISERROR(VALUE(TRIM(INDIRECT(ADDRESS(ROW()-1, COLUMN(A2289)))))), INDIRECT(ADDRESS(ROW()-2, COLUMN(R2289)))+1, INDIRECT(ADDRESS(ROW()-1, COLUMN(R2289))))</f>
        <v>5</v>
      </c>
    </row>
    <row r="2696" spans="1:18" ht="12.75">
      <c r="A2696" s="426" t="s">
        <v>4812</v>
      </c>
      <c r="B2696" s="427"/>
      <c r="C2696" s="427"/>
      <c r="D2696" s="427"/>
      <c r="E2696" s="427"/>
      <c r="F2696" s="427"/>
      <c r="G2696" s="427"/>
      <c r="H2696" s="427"/>
      <c r="I2696" s="427"/>
      <c r="J2696" s="427"/>
      <c r="K2696" s="427"/>
      <c r="L2696" s="427"/>
      <c r="M2696" s="427"/>
      <c r="N2696" s="427"/>
      <c r="O2696" s="427"/>
      <c r="P2696" s="427"/>
      <c r="Q2696" s="427"/>
      <c r="R2696" s="427"/>
    </row>
    <row r="2697" spans="1:18" ht="48">
      <c r="A2697" s="339">
        <v>66.358999999999995</v>
      </c>
      <c r="B2697" s="334" t="s">
        <v>4813</v>
      </c>
      <c r="C2697" s="340" t="s">
        <v>4814</v>
      </c>
      <c r="D2697" s="341">
        <v>30072.02</v>
      </c>
      <c r="E2697" s="341">
        <v>990.41</v>
      </c>
      <c r="F2697" s="341">
        <v>7190.43</v>
      </c>
      <c r="G2697" s="341">
        <v>21891.18</v>
      </c>
      <c r="H2697" s="342">
        <v>103583.51</v>
      </c>
      <c r="I2697" s="342">
        <f>12925.08</f>
        <v>12925.08</v>
      </c>
      <c r="J2697" s="342">
        <v>30717.95</v>
      </c>
      <c r="K2697" s="342">
        <v>59940.480000000003</v>
      </c>
      <c r="L2697" s="357">
        <f>IF(30072.02=0, "-", 103583.51/30072.02)</f>
        <v>3.4445145354385902</v>
      </c>
      <c r="M2697" s="357">
        <v>13.05</v>
      </c>
      <c r="N2697" s="357">
        <f>IF(7190.43=0, "-", 30717.95/7190.43)</f>
        <v>4.272060224492833</v>
      </c>
      <c r="O2697" s="357">
        <f>IF(21891.18=0, "-", 59940.48/21891.18)</f>
        <v>2.7381109652380551</v>
      </c>
      <c r="P2697" s="343"/>
      <c r="Q2697" s="343"/>
      <c r="R2697" s="343">
        <f ca="1">IF(ISERROR(VALUE(TRIM(INDIRECT(ADDRESS(ROW()-1, COLUMN(A2289)))))), INDIRECT(ADDRESS(ROW()-2, COLUMN(R2289)))+1, INDIRECT(ADDRESS(ROW()-1, COLUMN(R2289))))</f>
        <v>6</v>
      </c>
    </row>
    <row r="2698" spans="1:18" ht="48">
      <c r="A2698" s="339">
        <v>66.36</v>
      </c>
      <c r="B2698" s="334" t="s">
        <v>4815</v>
      </c>
      <c r="C2698" s="340" t="s">
        <v>4816</v>
      </c>
      <c r="D2698" s="341">
        <v>74336.14</v>
      </c>
      <c r="E2698" s="341">
        <v>1000.94</v>
      </c>
      <c r="F2698" s="341">
        <v>7752.68</v>
      </c>
      <c r="G2698" s="341">
        <v>65582.52</v>
      </c>
      <c r="H2698" s="342">
        <v>225687.2</v>
      </c>
      <c r="I2698" s="342">
        <f>13062.54</f>
        <v>13062.54</v>
      </c>
      <c r="J2698" s="342">
        <v>33205.21</v>
      </c>
      <c r="K2698" s="342">
        <v>179419.45</v>
      </c>
      <c r="L2698" s="357">
        <f>IF(74336.14=0, "-", 225687.2/74336.14)</f>
        <v>3.0360360384598932</v>
      </c>
      <c r="M2698" s="357">
        <v>13.05</v>
      </c>
      <c r="N2698" s="357">
        <f>IF(7752.68=0, "-", 33205.21/7752.68)</f>
        <v>4.2830621152943236</v>
      </c>
      <c r="O2698" s="357">
        <f>IF(65582.52=0, "-", 179419.45/65582.52)</f>
        <v>2.7357815771641589</v>
      </c>
      <c r="P2698" s="343"/>
      <c r="Q2698" s="343"/>
      <c r="R2698" s="343">
        <f ca="1">IF(ISERROR(VALUE(TRIM(INDIRECT(ADDRESS(ROW()-1, COLUMN(A2289)))))), INDIRECT(ADDRESS(ROW()-2, COLUMN(R2289)))+1, INDIRECT(ADDRESS(ROW()-1, COLUMN(R2289))))</f>
        <v>6</v>
      </c>
    </row>
    <row r="2699" spans="1:18" ht="48">
      <c r="A2699" s="339">
        <v>66.361000000000004</v>
      </c>
      <c r="B2699" s="334" t="s">
        <v>4817</v>
      </c>
      <c r="C2699" s="340" t="s">
        <v>4818</v>
      </c>
      <c r="D2699" s="341">
        <v>113019.55</v>
      </c>
      <c r="E2699" s="341">
        <v>1316.95</v>
      </c>
      <c r="F2699" s="341">
        <v>9343.09</v>
      </c>
      <c r="G2699" s="341">
        <v>102359.51</v>
      </c>
      <c r="H2699" s="342">
        <v>337440.77</v>
      </c>
      <c r="I2699" s="342">
        <f>17186.52</f>
        <v>17186.52</v>
      </c>
      <c r="J2699" s="342">
        <v>40252.99</v>
      </c>
      <c r="K2699" s="342">
        <v>280001.26</v>
      </c>
      <c r="L2699" s="357">
        <f>IF(113019.55=0, "-", 337440.77/113019.55)</f>
        <v>2.9856849545056585</v>
      </c>
      <c r="M2699" s="357">
        <v>13.05</v>
      </c>
      <c r="N2699" s="357">
        <f>IF(9343.09=0, "-", 40252.99/9343.09)</f>
        <v>4.3083166275825233</v>
      </c>
      <c r="O2699" s="357">
        <f>IF(102359.51=0, "-", 280001.26/102359.51)</f>
        <v>2.7354689368872518</v>
      </c>
      <c r="P2699" s="343"/>
      <c r="Q2699" s="343"/>
      <c r="R2699" s="343">
        <f ca="1">IF(ISERROR(VALUE(TRIM(INDIRECT(ADDRESS(ROW()-1, COLUMN(A2289)))))), INDIRECT(ADDRESS(ROW()-2, COLUMN(R2289)))+1, INDIRECT(ADDRESS(ROW()-1, COLUMN(R2289))))</f>
        <v>6</v>
      </c>
    </row>
    <row r="2700" spans="1:18" ht="48">
      <c r="A2700" s="339">
        <v>66.361999999999995</v>
      </c>
      <c r="B2700" s="334" t="s">
        <v>4819</v>
      </c>
      <c r="C2700" s="340" t="s">
        <v>4820</v>
      </c>
      <c r="D2700" s="341">
        <v>210724.28</v>
      </c>
      <c r="E2700" s="341">
        <v>1374.89</v>
      </c>
      <c r="F2700" s="341">
        <v>15792.55</v>
      </c>
      <c r="G2700" s="341">
        <v>193556.84</v>
      </c>
      <c r="H2700" s="342">
        <v>612628.61</v>
      </c>
      <c r="I2700" s="342">
        <f>17942.59</f>
        <v>17942.59</v>
      </c>
      <c r="J2700" s="342">
        <v>65258.52</v>
      </c>
      <c r="K2700" s="342">
        <v>529427.5</v>
      </c>
      <c r="L2700" s="357">
        <f>IF(210724.28=0, "-", 612628.61/210724.28)</f>
        <v>2.9072521211129536</v>
      </c>
      <c r="M2700" s="357">
        <v>13.05</v>
      </c>
      <c r="N2700" s="357">
        <f>IF(15792.55=0, "-", 65258.52/15792.55)</f>
        <v>4.1322345029776697</v>
      </c>
      <c r="O2700" s="357">
        <f>IF(193556.84=0, "-", 529427.5/193556.84)</f>
        <v>2.7352559589214209</v>
      </c>
      <c r="P2700" s="343"/>
      <c r="Q2700" s="343"/>
      <c r="R2700" s="343">
        <f ca="1">IF(ISERROR(VALUE(TRIM(INDIRECT(ADDRESS(ROW()-1, COLUMN(A2289)))))), INDIRECT(ADDRESS(ROW()-2, COLUMN(R2289)))+1, INDIRECT(ADDRESS(ROW()-1, COLUMN(R2289))))</f>
        <v>6</v>
      </c>
    </row>
    <row r="2701" spans="1:18" ht="48">
      <c r="A2701" s="339">
        <v>66.363</v>
      </c>
      <c r="B2701" s="334" t="s">
        <v>4821</v>
      </c>
      <c r="C2701" s="340" t="s">
        <v>4822</v>
      </c>
      <c r="D2701" s="341">
        <v>401920.83</v>
      </c>
      <c r="E2701" s="341">
        <v>1594.96</v>
      </c>
      <c r="F2701" s="341">
        <v>17888.939999999999</v>
      </c>
      <c r="G2701" s="341">
        <v>382436.93</v>
      </c>
      <c r="H2701" s="342">
        <v>1149412.25</v>
      </c>
      <c r="I2701" s="342">
        <f>20814.64</f>
        <v>20814.64</v>
      </c>
      <c r="J2701" s="342">
        <v>81669.52</v>
      </c>
      <c r="K2701" s="342">
        <v>1046928.09</v>
      </c>
      <c r="L2701" s="357">
        <f>IF(401920.83=0, "-", 1149412.25/401920.83)</f>
        <v>2.8597976621415713</v>
      </c>
      <c r="M2701" s="357">
        <v>13.05</v>
      </c>
      <c r="N2701" s="357">
        <f>IF(17888.94=0, "-", 81669.52/17888.94)</f>
        <v>4.565363850513223</v>
      </c>
      <c r="O2701" s="357">
        <f>IF(382436.93=0, "-", 1046928.09/382436.93)</f>
        <v>2.7375182883096567</v>
      </c>
      <c r="P2701" s="343"/>
      <c r="Q2701" s="343"/>
      <c r="R2701" s="343">
        <f ca="1">IF(ISERROR(VALUE(TRIM(INDIRECT(ADDRESS(ROW()-1, COLUMN(A2289)))))), INDIRECT(ADDRESS(ROW()-2, COLUMN(R2289)))+1, INDIRECT(ADDRESS(ROW()-1, COLUMN(R2289))))</f>
        <v>6</v>
      </c>
    </row>
    <row r="2702" spans="1:18" ht="12.75">
      <c r="A2702" s="426" t="s">
        <v>4823</v>
      </c>
      <c r="B2702" s="427"/>
      <c r="C2702" s="427"/>
      <c r="D2702" s="427"/>
      <c r="E2702" s="427"/>
      <c r="F2702" s="427"/>
      <c r="G2702" s="427"/>
      <c r="H2702" s="427"/>
      <c r="I2702" s="427"/>
      <c r="J2702" s="427"/>
      <c r="K2702" s="427"/>
      <c r="L2702" s="427"/>
      <c r="M2702" s="427"/>
      <c r="N2702" s="427"/>
      <c r="O2702" s="427"/>
      <c r="P2702" s="427"/>
      <c r="Q2702" s="427"/>
      <c r="R2702" s="427"/>
    </row>
    <row r="2703" spans="1:18" ht="36">
      <c r="A2703" s="339">
        <v>66.364000000000004</v>
      </c>
      <c r="B2703" s="334" t="s">
        <v>4824</v>
      </c>
      <c r="C2703" s="340" t="s">
        <v>4825</v>
      </c>
      <c r="D2703" s="341">
        <v>16943.48</v>
      </c>
      <c r="E2703" s="341">
        <v>1523.29</v>
      </c>
      <c r="F2703" s="341">
        <v>15177.94</v>
      </c>
      <c r="G2703" s="341">
        <v>242.25</v>
      </c>
      <c r="H2703" s="342">
        <v>119624.06</v>
      </c>
      <c r="I2703" s="342">
        <f>19878.41</f>
        <v>19878.41</v>
      </c>
      <c r="J2703" s="342">
        <v>97875.9</v>
      </c>
      <c r="K2703" s="342">
        <v>1869.75</v>
      </c>
      <c r="L2703" s="357">
        <f>IF(16943.48=0, "-", 119624.06/16943.48)</f>
        <v>7.0601824418596415</v>
      </c>
      <c r="M2703" s="357">
        <v>13.05</v>
      </c>
      <c r="N2703" s="357">
        <f>IF(15177.94=0, "-", 97875.9/15177.94)</f>
        <v>6.4485628484497894</v>
      </c>
      <c r="O2703" s="357">
        <f>IF(242.25=0, "-", 1869.75/242.25)</f>
        <v>7.7182662538699693</v>
      </c>
      <c r="P2703" s="343"/>
      <c r="Q2703" s="343"/>
      <c r="R2703" s="343">
        <f ca="1">IF(ISERROR(VALUE(TRIM(INDIRECT(ADDRESS(ROW()-1, COLUMN(A2289)))))), INDIRECT(ADDRESS(ROW()-2, COLUMN(R2289)))+1, INDIRECT(ADDRESS(ROW()-1, COLUMN(R2289))))</f>
        <v>7</v>
      </c>
    </row>
    <row r="2704" spans="1:18" ht="36">
      <c r="A2704" s="339">
        <v>66.364999999999995</v>
      </c>
      <c r="B2704" s="334" t="s">
        <v>4826</v>
      </c>
      <c r="C2704" s="340" t="s">
        <v>4827</v>
      </c>
      <c r="D2704" s="341">
        <v>19936.11</v>
      </c>
      <c r="E2704" s="341">
        <v>2234.81</v>
      </c>
      <c r="F2704" s="341">
        <v>17362.150000000001</v>
      </c>
      <c r="G2704" s="341">
        <v>339.15</v>
      </c>
      <c r="H2704" s="342">
        <v>143785.12</v>
      </c>
      <c r="I2704" s="342">
        <f>29163.54</f>
        <v>29163.54</v>
      </c>
      <c r="J2704" s="342">
        <v>112003.93</v>
      </c>
      <c r="K2704" s="342">
        <v>2617.65</v>
      </c>
      <c r="L2704" s="357">
        <f>IF(19936.11=0, "-", 143785.12/19936.11)</f>
        <v>7.2122956785451118</v>
      </c>
      <c r="M2704" s="357">
        <v>13.05</v>
      </c>
      <c r="N2704" s="357">
        <f>IF(17362.15=0, "-", 112003.93/17362.15)</f>
        <v>6.4510403377461882</v>
      </c>
      <c r="O2704" s="357">
        <f>IF(339.15=0, "-", 2617.65/339.15)</f>
        <v>7.7182662538699702</v>
      </c>
      <c r="P2704" s="343"/>
      <c r="Q2704" s="343"/>
      <c r="R2704" s="343">
        <f ca="1">IF(ISERROR(VALUE(TRIM(INDIRECT(ADDRESS(ROW()-1, COLUMN(A2289)))))), INDIRECT(ADDRESS(ROW()-2, COLUMN(R2289)))+1, INDIRECT(ADDRESS(ROW()-1, COLUMN(R2289))))</f>
        <v>7</v>
      </c>
    </row>
    <row r="2705" spans="1:18" ht="36">
      <c r="A2705" s="339">
        <v>66.366</v>
      </c>
      <c r="B2705" s="334" t="s">
        <v>4828</v>
      </c>
      <c r="C2705" s="340" t="s">
        <v>4829</v>
      </c>
      <c r="D2705" s="341">
        <v>23417.69</v>
      </c>
      <c r="E2705" s="341">
        <v>2629.25</v>
      </c>
      <c r="F2705" s="341">
        <v>20416.990000000002</v>
      </c>
      <c r="G2705" s="341">
        <v>371.45</v>
      </c>
      <c r="H2705" s="342">
        <v>168941.3</v>
      </c>
      <c r="I2705" s="342">
        <f>34310.94</f>
        <v>34310.94</v>
      </c>
      <c r="J2705" s="342">
        <v>131763.41</v>
      </c>
      <c r="K2705" s="342">
        <v>2866.95</v>
      </c>
      <c r="L2705" s="357">
        <f>IF(23417.69=0, "-", 168941.3/23417.69)</f>
        <v>7.2142598181118629</v>
      </c>
      <c r="M2705" s="357">
        <v>13.05</v>
      </c>
      <c r="N2705" s="357">
        <f>IF(20416.99=0, "-", 131763.41/20416.99)</f>
        <v>6.4536158366145058</v>
      </c>
      <c r="O2705" s="357">
        <f>IF(371.45=0, "-", 2866.95/371.45)</f>
        <v>7.7182662538699685</v>
      </c>
      <c r="P2705" s="343"/>
      <c r="Q2705" s="343"/>
      <c r="R2705" s="343">
        <f ca="1">IF(ISERROR(VALUE(TRIM(INDIRECT(ADDRESS(ROW()-1, COLUMN(A2289)))))), INDIRECT(ADDRESS(ROW()-2, COLUMN(R2289)))+1, INDIRECT(ADDRESS(ROW()-1, COLUMN(R2289))))</f>
        <v>7</v>
      </c>
    </row>
    <row r="2706" spans="1:18" ht="36">
      <c r="A2706" s="339">
        <v>66.367000000000004</v>
      </c>
      <c r="B2706" s="334" t="s">
        <v>4830</v>
      </c>
      <c r="C2706" s="340" t="s">
        <v>4831</v>
      </c>
      <c r="D2706" s="341">
        <v>28640.07</v>
      </c>
      <c r="E2706" s="341">
        <v>3220.92</v>
      </c>
      <c r="F2706" s="341">
        <v>24999.25</v>
      </c>
      <c r="G2706" s="341">
        <v>419.9</v>
      </c>
      <c r="H2706" s="342">
        <v>206675.57</v>
      </c>
      <c r="I2706" s="342">
        <f>42032.04</f>
        <v>42032.04</v>
      </c>
      <c r="J2706" s="342">
        <v>161402.63</v>
      </c>
      <c r="K2706" s="342">
        <v>3240.9</v>
      </c>
      <c r="L2706" s="357">
        <f>IF(28640.07=0, "-", 206675.57/28640.07)</f>
        <v>7.2163081305318038</v>
      </c>
      <c r="M2706" s="357">
        <v>13.05</v>
      </c>
      <c r="N2706" s="357">
        <f>IF(24999.25=0, "-", 161402.63/24999.25)</f>
        <v>6.4562988889666695</v>
      </c>
      <c r="O2706" s="357">
        <f>IF(419.9=0, "-", 3240.9/419.9)</f>
        <v>7.7182662538699693</v>
      </c>
      <c r="P2706" s="343"/>
      <c r="Q2706" s="343"/>
      <c r="R2706" s="343">
        <f ca="1">IF(ISERROR(VALUE(TRIM(INDIRECT(ADDRESS(ROW()-1, COLUMN(A2289)))))), INDIRECT(ADDRESS(ROW()-2, COLUMN(R2289)))+1, INDIRECT(ADDRESS(ROW()-1, COLUMN(R2289))))</f>
        <v>7</v>
      </c>
    </row>
    <row r="2707" spans="1:18" ht="36">
      <c r="A2707" s="339">
        <v>66.367999999999995</v>
      </c>
      <c r="B2707" s="334" t="s">
        <v>4832</v>
      </c>
      <c r="C2707" s="340" t="s">
        <v>4833</v>
      </c>
      <c r="D2707" s="341">
        <v>32383.68</v>
      </c>
      <c r="E2707" s="341">
        <v>3648.28</v>
      </c>
      <c r="F2707" s="341">
        <v>28283.200000000001</v>
      </c>
      <c r="G2707" s="341">
        <v>452.2</v>
      </c>
      <c r="H2707" s="342">
        <v>233743.18</v>
      </c>
      <c r="I2707" s="342">
        <f>47608.9</f>
        <v>47608.9</v>
      </c>
      <c r="J2707" s="342">
        <v>182644.08</v>
      </c>
      <c r="K2707" s="342">
        <v>3490.2</v>
      </c>
      <c r="L2707" s="357">
        <f>IF(32383.68=0, "-", 233743.18/32383.68)</f>
        <v>7.2179313777804124</v>
      </c>
      <c r="M2707" s="357">
        <v>13.05</v>
      </c>
      <c r="N2707" s="357">
        <f>IF(28283.2=0, "-", 182644.08/28283.2)</f>
        <v>6.4576879561011475</v>
      </c>
      <c r="O2707" s="357">
        <f>IF(452.2=0, "-", 3490.2/452.2)</f>
        <v>7.7182662538699685</v>
      </c>
      <c r="P2707" s="343"/>
      <c r="Q2707" s="343"/>
      <c r="R2707" s="343">
        <f ca="1">IF(ISERROR(VALUE(TRIM(INDIRECT(ADDRESS(ROW()-1, COLUMN(A2289)))))), INDIRECT(ADDRESS(ROW()-2, COLUMN(R2289)))+1, INDIRECT(ADDRESS(ROW()-1, COLUMN(R2289))))</f>
        <v>7</v>
      </c>
    </row>
    <row r="2708" spans="1:18" ht="36">
      <c r="A2708" s="339">
        <v>66.369</v>
      </c>
      <c r="B2708" s="334" t="s">
        <v>4834</v>
      </c>
      <c r="C2708" s="340" t="s">
        <v>4835</v>
      </c>
      <c r="D2708" s="341">
        <v>37324.93</v>
      </c>
      <c r="E2708" s="341">
        <v>4210.54</v>
      </c>
      <c r="F2708" s="341">
        <v>32636.35</v>
      </c>
      <c r="G2708" s="341">
        <v>478.04</v>
      </c>
      <c r="H2708" s="342">
        <v>269437.2</v>
      </c>
      <c r="I2708" s="342">
        <f>54946.23</f>
        <v>54946.23</v>
      </c>
      <c r="J2708" s="342">
        <v>210801.33</v>
      </c>
      <c r="K2708" s="342">
        <v>3689.64</v>
      </c>
      <c r="L2708" s="357">
        <f>IF(37324.93=0, "-", 269437.2/37324.93)</f>
        <v>7.2186927075281861</v>
      </c>
      <c r="M2708" s="357">
        <v>13.05</v>
      </c>
      <c r="N2708" s="357">
        <f>IF(32636.35=0, "-", 210801.33/32636.35)</f>
        <v>6.4590963756670092</v>
      </c>
      <c r="O2708" s="357">
        <f>IF(478.04=0, "-", 3689.64/478.04)</f>
        <v>7.7182662538699685</v>
      </c>
      <c r="P2708" s="343"/>
      <c r="Q2708" s="343"/>
      <c r="R2708" s="343">
        <f ca="1">IF(ISERROR(VALUE(TRIM(INDIRECT(ADDRESS(ROW()-1, COLUMN(A2289)))))), INDIRECT(ADDRESS(ROW()-2, COLUMN(R2289)))+1, INDIRECT(ADDRESS(ROW()-1, COLUMN(R2289))))</f>
        <v>7</v>
      </c>
    </row>
    <row r="2709" spans="1:18" ht="36">
      <c r="A2709" s="339">
        <v>66.37</v>
      </c>
      <c r="B2709" s="334" t="s">
        <v>4836</v>
      </c>
      <c r="C2709" s="340" t="s">
        <v>4837</v>
      </c>
      <c r="D2709" s="341">
        <v>44229.96</v>
      </c>
      <c r="E2709" s="341">
        <v>4999.43</v>
      </c>
      <c r="F2709" s="341">
        <v>38746.03</v>
      </c>
      <c r="G2709" s="341">
        <v>484.5</v>
      </c>
      <c r="H2709" s="342">
        <v>319300.83</v>
      </c>
      <c r="I2709" s="342">
        <f>65241.04</f>
        <v>65241.04</v>
      </c>
      <c r="J2709" s="342">
        <v>250320.29</v>
      </c>
      <c r="K2709" s="342">
        <v>3739.5</v>
      </c>
      <c r="L2709" s="357">
        <f>IF(44229.96=0, "-", 319300.83/44229.96)</f>
        <v>7.2191073652338824</v>
      </c>
      <c r="M2709" s="357">
        <v>13.05</v>
      </c>
      <c r="N2709" s="357">
        <f>IF(38746.03=0, "-", 250320.29/38746.03)</f>
        <v>6.4605403443914131</v>
      </c>
      <c r="O2709" s="357">
        <f>IF(484.5=0, "-", 3739.5/484.5)</f>
        <v>7.7182662538699693</v>
      </c>
      <c r="P2709" s="343"/>
      <c r="Q2709" s="343"/>
      <c r="R2709" s="343">
        <f ca="1">IF(ISERROR(VALUE(TRIM(INDIRECT(ADDRESS(ROW()-1, COLUMN(A2289)))))), INDIRECT(ADDRESS(ROW()-2, COLUMN(R2289)))+1, INDIRECT(ADDRESS(ROW()-1, COLUMN(R2289))))</f>
        <v>7</v>
      </c>
    </row>
    <row r="2710" spans="1:18" ht="36">
      <c r="A2710" s="339">
        <v>66.370999999999995</v>
      </c>
      <c r="B2710" s="334" t="s">
        <v>4838</v>
      </c>
      <c r="C2710" s="340" t="s">
        <v>4839</v>
      </c>
      <c r="D2710" s="341">
        <v>54642.42</v>
      </c>
      <c r="E2710" s="341">
        <v>6182.77</v>
      </c>
      <c r="F2710" s="341">
        <v>47910.55</v>
      </c>
      <c r="G2710" s="341">
        <v>549.1</v>
      </c>
      <c r="H2710" s="342">
        <v>394520.07</v>
      </c>
      <c r="I2710" s="342">
        <f>80683.24</f>
        <v>80683.240000000005</v>
      </c>
      <c r="J2710" s="342">
        <v>309598.73</v>
      </c>
      <c r="K2710" s="342">
        <v>4238.1000000000004</v>
      </c>
      <c r="L2710" s="357">
        <f>IF(54642.42=0, "-", 394520.07/54642.42)</f>
        <v>7.2200328975180827</v>
      </c>
      <c r="M2710" s="357">
        <v>13.05</v>
      </c>
      <c r="N2710" s="357">
        <f>IF(47910.55=0, "-", 309598.73/47910.55)</f>
        <v>6.4620157773183564</v>
      </c>
      <c r="O2710" s="357">
        <f>IF(549.1=0, "-", 4238.1/549.1)</f>
        <v>7.7182662538699693</v>
      </c>
      <c r="P2710" s="343"/>
      <c r="Q2710" s="343"/>
      <c r="R2710" s="343">
        <f ca="1">IF(ISERROR(VALUE(TRIM(INDIRECT(ADDRESS(ROW()-1, COLUMN(A2289)))))), INDIRECT(ADDRESS(ROW()-2, COLUMN(R2289)))+1, INDIRECT(ADDRESS(ROW()-1, COLUMN(R2289))))</f>
        <v>7</v>
      </c>
    </row>
    <row r="2711" spans="1:18" ht="36">
      <c r="A2711" s="339">
        <v>66.372</v>
      </c>
      <c r="B2711" s="334" t="s">
        <v>4840</v>
      </c>
      <c r="C2711" s="340" t="s">
        <v>4841</v>
      </c>
      <c r="D2711" s="341">
        <v>71929.320000000007</v>
      </c>
      <c r="E2711" s="341">
        <v>8163.17</v>
      </c>
      <c r="F2711" s="341">
        <v>63184.75</v>
      </c>
      <c r="G2711" s="341">
        <v>581.4</v>
      </c>
      <c r="H2711" s="342">
        <v>519410.39</v>
      </c>
      <c r="I2711" s="342">
        <f>106526.86</f>
        <v>106526.86</v>
      </c>
      <c r="J2711" s="342">
        <v>408396.13</v>
      </c>
      <c r="K2711" s="342">
        <v>4487.3999999999996</v>
      </c>
      <c r="L2711" s="357">
        <f>IF(71929.32=0, "-", 519410.39/71929.32)</f>
        <v>7.2211219291382145</v>
      </c>
      <c r="M2711" s="357">
        <v>13.05</v>
      </c>
      <c r="N2711" s="357">
        <f>IF(63184.75=0, "-", 408396.13/63184.75)</f>
        <v>6.4635237141873629</v>
      </c>
      <c r="O2711" s="357">
        <f>IF(581.4=0, "-", 4487.4/581.4)</f>
        <v>7.7182662538699685</v>
      </c>
      <c r="P2711" s="343"/>
      <c r="Q2711" s="343"/>
      <c r="R2711" s="343">
        <f ca="1">IF(ISERROR(VALUE(TRIM(INDIRECT(ADDRESS(ROW()-1, COLUMN(A2289)))))), INDIRECT(ADDRESS(ROW()-2, COLUMN(R2289)))+1, INDIRECT(ADDRESS(ROW()-1, COLUMN(R2289))))</f>
        <v>7</v>
      </c>
    </row>
    <row r="2712" spans="1:18" ht="36">
      <c r="A2712" s="339">
        <v>66.373000000000005</v>
      </c>
      <c r="B2712" s="334" t="s">
        <v>4842</v>
      </c>
      <c r="C2712" s="340" t="s">
        <v>4843</v>
      </c>
      <c r="D2712" s="341">
        <v>106486.78</v>
      </c>
      <c r="E2712" s="341">
        <v>12107.63</v>
      </c>
      <c r="F2712" s="341">
        <v>93733.15</v>
      </c>
      <c r="G2712" s="341">
        <v>646</v>
      </c>
      <c r="H2712" s="342">
        <v>768977.81</v>
      </c>
      <c r="I2712" s="342">
        <f>158000.88</f>
        <v>158000.88</v>
      </c>
      <c r="J2712" s="342">
        <v>605990.93000000005</v>
      </c>
      <c r="K2712" s="342">
        <v>4986</v>
      </c>
      <c r="L2712" s="357">
        <f>IF(106486.78=0, "-", 768977.81/106486.78)</f>
        <v>7.2213453162918446</v>
      </c>
      <c r="M2712" s="357">
        <v>13.05</v>
      </c>
      <c r="N2712" s="357">
        <f>IF(93733.15=0, "-", 605990.93/93733.15)</f>
        <v>6.4650652410593272</v>
      </c>
      <c r="O2712" s="357">
        <f>IF(646=0, "-", 4986/646)</f>
        <v>7.7182662538699693</v>
      </c>
      <c r="P2712" s="343"/>
      <c r="Q2712" s="343"/>
      <c r="R2712" s="343">
        <f ca="1">IF(ISERROR(VALUE(TRIM(INDIRECT(ADDRESS(ROW()-1, COLUMN(A2289)))))), INDIRECT(ADDRESS(ROW()-2, COLUMN(R2289)))+1, INDIRECT(ADDRESS(ROW()-1, COLUMN(R2289))))</f>
        <v>7</v>
      </c>
    </row>
    <row r="2713" spans="1:18" ht="12.75">
      <c r="A2713" s="426" t="s">
        <v>4844</v>
      </c>
      <c r="B2713" s="427"/>
      <c r="C2713" s="427"/>
      <c r="D2713" s="427"/>
      <c r="E2713" s="427"/>
      <c r="F2713" s="427"/>
      <c r="G2713" s="427"/>
      <c r="H2713" s="427"/>
      <c r="I2713" s="427"/>
      <c r="J2713" s="427"/>
      <c r="K2713" s="427"/>
      <c r="L2713" s="427"/>
      <c r="M2713" s="427"/>
      <c r="N2713" s="427"/>
      <c r="O2713" s="427"/>
      <c r="P2713" s="427"/>
      <c r="Q2713" s="427"/>
      <c r="R2713" s="427"/>
    </row>
    <row r="2714" spans="1:18" ht="36">
      <c r="A2714" s="339">
        <v>66.373999999999995</v>
      </c>
      <c r="B2714" s="334" t="s">
        <v>4845</v>
      </c>
      <c r="C2714" s="340" t="s">
        <v>4846</v>
      </c>
      <c r="D2714" s="341">
        <v>14038.05</v>
      </c>
      <c r="E2714" s="341">
        <v>1285.25</v>
      </c>
      <c r="F2714" s="341">
        <v>2723</v>
      </c>
      <c r="G2714" s="341">
        <v>10029.799999999999</v>
      </c>
      <c r="H2714" s="342">
        <v>75237.070000000007</v>
      </c>
      <c r="I2714" s="342">
        <f>16772.25</f>
        <v>16772.25</v>
      </c>
      <c r="J2714" s="342">
        <v>20557.61</v>
      </c>
      <c r="K2714" s="342">
        <v>37907.21</v>
      </c>
      <c r="L2714" s="357">
        <f>IF(14038.05=0, "-", 75237.07/14038.05)</f>
        <v>5.3595100459109357</v>
      </c>
      <c r="M2714" s="357">
        <v>13.05</v>
      </c>
      <c r="N2714" s="357">
        <f>IF(2723=0, "-", 20557.61/2723)</f>
        <v>7.5496180683070149</v>
      </c>
      <c r="O2714" s="357">
        <f>IF(10029.8=0, "-", 37907.21/10029.8)</f>
        <v>3.7794582145207283</v>
      </c>
      <c r="P2714" s="343"/>
      <c r="Q2714" s="343"/>
      <c r="R2714" s="343">
        <f ca="1">IF(ISERROR(VALUE(TRIM(INDIRECT(ADDRESS(ROW()-1, COLUMN(A2289)))))), INDIRECT(ADDRESS(ROW()-2, COLUMN(R2289)))+1, INDIRECT(ADDRESS(ROW()-1, COLUMN(R2289))))</f>
        <v>8</v>
      </c>
    </row>
    <row r="2715" spans="1:18" ht="36">
      <c r="A2715" s="339">
        <v>66.375</v>
      </c>
      <c r="B2715" s="334" t="s">
        <v>4847</v>
      </c>
      <c r="C2715" s="340" t="s">
        <v>4848</v>
      </c>
      <c r="D2715" s="341">
        <v>14859.93</v>
      </c>
      <c r="E2715" s="341">
        <v>1360.62</v>
      </c>
      <c r="F2715" s="341">
        <v>2821.83</v>
      </c>
      <c r="G2715" s="341">
        <v>10677.48</v>
      </c>
      <c r="H2715" s="342">
        <v>78570.64</v>
      </c>
      <c r="I2715" s="342">
        <f>17755.76</f>
        <v>17755.759999999998</v>
      </c>
      <c r="J2715" s="342">
        <v>21296.77</v>
      </c>
      <c r="K2715" s="342">
        <v>39518.11</v>
      </c>
      <c r="L2715" s="357">
        <f>IF(14859.93=0, "-", 78570.64/14859.93)</f>
        <v>5.2874165625275484</v>
      </c>
      <c r="M2715" s="357">
        <v>13.05</v>
      </c>
      <c r="N2715" s="357">
        <f>IF(2821.83=0, "-", 21296.77/2821.83)</f>
        <v>7.5471484816590655</v>
      </c>
      <c r="O2715" s="357">
        <f>IF(10677.48=0, "-", 39518.11/10677.48)</f>
        <v>3.7010708519238622</v>
      </c>
      <c r="P2715" s="343"/>
      <c r="Q2715" s="343"/>
      <c r="R2715" s="343">
        <f ca="1">IF(ISERROR(VALUE(TRIM(INDIRECT(ADDRESS(ROW()-1, COLUMN(A2289)))))), INDIRECT(ADDRESS(ROW()-2, COLUMN(R2289)))+1, INDIRECT(ADDRESS(ROW()-1, COLUMN(R2289))))</f>
        <v>8</v>
      </c>
    </row>
    <row r="2716" spans="1:18" ht="36">
      <c r="A2716" s="339">
        <v>66.376000000000005</v>
      </c>
      <c r="B2716" s="334" t="s">
        <v>4849</v>
      </c>
      <c r="C2716" s="340" t="s">
        <v>4850</v>
      </c>
      <c r="D2716" s="341">
        <v>15912.96</v>
      </c>
      <c r="E2716" s="341">
        <v>1528.77</v>
      </c>
      <c r="F2716" s="341">
        <v>2906.93</v>
      </c>
      <c r="G2716" s="341">
        <v>11477.26</v>
      </c>
      <c r="H2716" s="342">
        <v>84019.88</v>
      </c>
      <c r="I2716" s="342">
        <f>19950.11</f>
        <v>19950.11</v>
      </c>
      <c r="J2716" s="342">
        <v>21900.6</v>
      </c>
      <c r="K2716" s="342">
        <v>42169.17</v>
      </c>
      <c r="L2716" s="357">
        <f>IF(15912.96=0, "-", 84019.88/15912.96)</f>
        <v>5.2799655123873883</v>
      </c>
      <c r="M2716" s="357">
        <v>13.05</v>
      </c>
      <c r="N2716" s="357">
        <f>IF(2906.93=0, "-", 21900.6/2906.93)</f>
        <v>7.5339275455549322</v>
      </c>
      <c r="O2716" s="357">
        <f>IF(11477.26=0, "-", 42169.17/11477.26)</f>
        <v>3.6741495792549785</v>
      </c>
      <c r="P2716" s="343"/>
      <c r="Q2716" s="343"/>
      <c r="R2716" s="343">
        <f ca="1">IF(ISERROR(VALUE(TRIM(INDIRECT(ADDRESS(ROW()-1, COLUMN(A2289)))))), INDIRECT(ADDRESS(ROW()-2, COLUMN(R2289)))+1, INDIRECT(ADDRESS(ROW()-1, COLUMN(R2289))))</f>
        <v>8</v>
      </c>
    </row>
    <row r="2717" spans="1:18" ht="36">
      <c r="A2717" s="339">
        <v>66.376999999999995</v>
      </c>
      <c r="B2717" s="334" t="s">
        <v>4851</v>
      </c>
      <c r="C2717" s="340" t="s">
        <v>4852</v>
      </c>
      <c r="D2717" s="341">
        <v>21207.79</v>
      </c>
      <c r="E2717" s="341">
        <v>2573.58</v>
      </c>
      <c r="F2717" s="341">
        <v>4095.24</v>
      </c>
      <c r="G2717" s="341">
        <v>14538.97</v>
      </c>
      <c r="H2717" s="342">
        <v>115414.64</v>
      </c>
      <c r="I2717" s="342">
        <f>33584.72</f>
        <v>33584.720000000001</v>
      </c>
      <c r="J2717" s="342">
        <v>30630.78</v>
      </c>
      <c r="K2717" s="342">
        <v>51199.14</v>
      </c>
      <c r="L2717" s="357">
        <f>IF(21207.79=0, "-", 115414.64/21207.79)</f>
        <v>5.4420870821523595</v>
      </c>
      <c r="M2717" s="357">
        <v>13.05</v>
      </c>
      <c r="N2717" s="357">
        <f>IF(4095.24=0, "-", 30630.78/4095.24)</f>
        <v>7.4796055908811203</v>
      </c>
      <c r="O2717" s="357">
        <f>IF(14538.97=0, "-", 51199.14/14538.97)</f>
        <v>3.521510808537331</v>
      </c>
      <c r="P2717" s="343"/>
      <c r="Q2717" s="343"/>
      <c r="R2717" s="343">
        <f ca="1">IF(ISERROR(VALUE(TRIM(INDIRECT(ADDRESS(ROW()-1, COLUMN(A2289)))))), INDIRECT(ADDRESS(ROW()-2, COLUMN(R2289)))+1, INDIRECT(ADDRESS(ROW()-1, COLUMN(R2289))))</f>
        <v>8</v>
      </c>
    </row>
    <row r="2718" spans="1:18" ht="36">
      <c r="A2718" s="339">
        <v>66.378</v>
      </c>
      <c r="B2718" s="334" t="s">
        <v>4853</v>
      </c>
      <c r="C2718" s="340" t="s">
        <v>4854</v>
      </c>
      <c r="D2718" s="341">
        <v>23639.599999999999</v>
      </c>
      <c r="E2718" s="341">
        <v>2796.13</v>
      </c>
      <c r="F2718" s="341">
        <v>4286.8900000000003</v>
      </c>
      <c r="G2718" s="341">
        <v>16556.580000000002</v>
      </c>
      <c r="H2718" s="342">
        <v>125006.22</v>
      </c>
      <c r="I2718" s="342">
        <f>36488.85</f>
        <v>36488.85</v>
      </c>
      <c r="J2718" s="342">
        <v>32073.81</v>
      </c>
      <c r="K2718" s="342">
        <v>56443.56</v>
      </c>
      <c r="L2718" s="357">
        <f>IF(23639.6=0, "-", 125006.22/23639.6)</f>
        <v>5.2880006429888837</v>
      </c>
      <c r="M2718" s="357">
        <v>13.05</v>
      </c>
      <c r="N2718" s="357">
        <f>IF(4286.89=0, "-", 32073.81/4286.89)</f>
        <v>7.4818364828582027</v>
      </c>
      <c r="O2718" s="357">
        <f>IF(16556.58=0, "-", 56443.56/16556.58)</f>
        <v>3.4091315960180175</v>
      </c>
      <c r="P2718" s="343"/>
      <c r="Q2718" s="343"/>
      <c r="R2718" s="343">
        <f ca="1">IF(ISERROR(VALUE(TRIM(INDIRECT(ADDRESS(ROW()-1, COLUMN(A2289)))))), INDIRECT(ADDRESS(ROW()-2, COLUMN(R2289)))+1, INDIRECT(ADDRESS(ROW()-1, COLUMN(R2289))))</f>
        <v>8</v>
      </c>
    </row>
    <row r="2719" spans="1:18" ht="36">
      <c r="A2719" s="339">
        <v>66.379000000000005</v>
      </c>
      <c r="B2719" s="334" t="s">
        <v>4855</v>
      </c>
      <c r="C2719" s="340" t="s">
        <v>4856</v>
      </c>
      <c r="D2719" s="341">
        <v>26354.02</v>
      </c>
      <c r="E2719" s="341">
        <v>3204.36</v>
      </c>
      <c r="F2719" s="341">
        <v>4491.55</v>
      </c>
      <c r="G2719" s="341">
        <v>18658.11</v>
      </c>
      <c r="H2719" s="342">
        <v>137622.46</v>
      </c>
      <c r="I2719" s="342">
        <f>41816.2</f>
        <v>41816.199999999997</v>
      </c>
      <c r="J2719" s="342">
        <v>33580.49</v>
      </c>
      <c r="K2719" s="342">
        <v>62225.77</v>
      </c>
      <c r="L2719" s="357">
        <f>IF(26354.02=0, "-", 137622.46/26354.02)</f>
        <v>5.2220670698436136</v>
      </c>
      <c r="M2719" s="357">
        <v>13.05</v>
      </c>
      <c r="N2719" s="357">
        <f>IF(4491.55=0, "-", 33580.49/4491.55)</f>
        <v>7.4763700726920543</v>
      </c>
      <c r="O2719" s="357">
        <f>IF(18658.11=0, "-", 62225.77/18658.11)</f>
        <v>3.3350521569440845</v>
      </c>
      <c r="P2719" s="343"/>
      <c r="Q2719" s="343"/>
      <c r="R2719" s="343">
        <f ca="1">IF(ISERROR(VALUE(TRIM(INDIRECT(ADDRESS(ROW()-1, COLUMN(A2289)))))), INDIRECT(ADDRESS(ROW()-2, COLUMN(R2289)))+1, INDIRECT(ADDRESS(ROW()-1, COLUMN(R2289))))</f>
        <v>8</v>
      </c>
    </row>
    <row r="2720" spans="1:18" ht="12.75">
      <c r="A2720" s="426" t="s">
        <v>4857</v>
      </c>
      <c r="B2720" s="427"/>
      <c r="C2720" s="427"/>
      <c r="D2720" s="427"/>
      <c r="E2720" s="427"/>
      <c r="F2720" s="427"/>
      <c r="G2720" s="427"/>
      <c r="H2720" s="427"/>
      <c r="I2720" s="427"/>
      <c r="J2720" s="427"/>
      <c r="K2720" s="427"/>
      <c r="L2720" s="427"/>
      <c r="M2720" s="427"/>
      <c r="N2720" s="427"/>
      <c r="O2720" s="427"/>
      <c r="P2720" s="427"/>
      <c r="Q2720" s="427"/>
      <c r="R2720" s="427"/>
    </row>
    <row r="2721" spans="1:18" ht="36">
      <c r="A2721" s="339">
        <v>66.38</v>
      </c>
      <c r="B2721" s="334" t="s">
        <v>4858</v>
      </c>
      <c r="C2721" s="340" t="s">
        <v>4859</v>
      </c>
      <c r="D2721" s="341">
        <v>15369.45</v>
      </c>
      <c r="E2721" s="341">
        <v>1116.5999999999999</v>
      </c>
      <c r="F2721" s="341">
        <v>2610.04</v>
      </c>
      <c r="G2721" s="341">
        <v>11642.81</v>
      </c>
      <c r="H2721" s="342">
        <v>74391.97</v>
      </c>
      <c r="I2721" s="342">
        <f>14571.17</f>
        <v>14571.17</v>
      </c>
      <c r="J2721" s="342">
        <v>20330.560000000001</v>
      </c>
      <c r="K2721" s="342">
        <v>39490.239999999998</v>
      </c>
      <c r="L2721" s="357">
        <f>IF(15369.45=0, "-", 74391.97/15369.45)</f>
        <v>4.8402493257728807</v>
      </c>
      <c r="M2721" s="357">
        <v>13.05</v>
      </c>
      <c r="N2721" s="357">
        <f>IF(2610.04=0, "-", 20330.56/2610.04)</f>
        <v>7.7893672127630236</v>
      </c>
      <c r="O2721" s="357">
        <f>IF(11642.81=0, "-", 39490.24/11642.81)</f>
        <v>3.3918134883245541</v>
      </c>
      <c r="P2721" s="343"/>
      <c r="Q2721" s="343"/>
      <c r="R2721" s="343">
        <f ca="1">IF(ISERROR(VALUE(TRIM(INDIRECT(ADDRESS(ROW()-1, COLUMN(A2289)))))), INDIRECT(ADDRESS(ROW()-2, COLUMN(R2289)))+1, INDIRECT(ADDRESS(ROW()-1, COLUMN(R2289))))</f>
        <v>9</v>
      </c>
    </row>
    <row r="2722" spans="1:18" ht="36">
      <c r="A2722" s="339">
        <v>66.381</v>
      </c>
      <c r="B2722" s="334" t="s">
        <v>4860</v>
      </c>
      <c r="C2722" s="340" t="s">
        <v>4861</v>
      </c>
      <c r="D2722" s="341">
        <v>21172.33</v>
      </c>
      <c r="E2722" s="341">
        <v>1201.97</v>
      </c>
      <c r="F2722" s="341">
        <v>2708.59</v>
      </c>
      <c r="G2722" s="341">
        <v>17261.77</v>
      </c>
      <c r="H2722" s="342">
        <v>92006.49</v>
      </c>
      <c r="I2722" s="342">
        <f>15685.22</f>
        <v>15685.22</v>
      </c>
      <c r="J2722" s="342">
        <v>21126.3</v>
      </c>
      <c r="K2722" s="342">
        <v>55194.97</v>
      </c>
      <c r="L2722" s="357">
        <f>IF(21172.33=0, "-", 92006.49/21172.33)</f>
        <v>4.3456006022955433</v>
      </c>
      <c r="M2722" s="357">
        <v>13.05</v>
      </c>
      <c r="N2722" s="357">
        <f>IF(2708.59=0, "-", 21126.3/2708.59)</f>
        <v>7.799740824561856</v>
      </c>
      <c r="O2722" s="357">
        <f>IF(17261.77=0, "-", 55194.97/17261.77)</f>
        <v>3.197526673104786</v>
      </c>
      <c r="P2722" s="343"/>
      <c r="Q2722" s="343"/>
      <c r="R2722" s="343">
        <f ca="1">IF(ISERROR(VALUE(TRIM(INDIRECT(ADDRESS(ROW()-1, COLUMN(A2289)))))), INDIRECT(ADDRESS(ROW()-2, COLUMN(R2289)))+1, INDIRECT(ADDRESS(ROW()-1, COLUMN(R2289))))</f>
        <v>9</v>
      </c>
    </row>
    <row r="2723" spans="1:18" ht="36">
      <c r="A2723" s="339">
        <v>66.382000000000005</v>
      </c>
      <c r="B2723" s="334" t="s">
        <v>4862</v>
      </c>
      <c r="C2723" s="340" t="s">
        <v>4863</v>
      </c>
      <c r="D2723" s="341">
        <v>23356.42</v>
      </c>
      <c r="E2723" s="341">
        <v>1308.94</v>
      </c>
      <c r="F2723" s="341">
        <v>2778.92</v>
      </c>
      <c r="G2723" s="341">
        <v>19268.560000000001</v>
      </c>
      <c r="H2723" s="342">
        <v>99933.49</v>
      </c>
      <c r="I2723" s="342">
        <f>17081.16</f>
        <v>17081.16</v>
      </c>
      <c r="J2723" s="342">
        <v>21684.46</v>
      </c>
      <c r="K2723" s="342">
        <v>61167.87</v>
      </c>
      <c r="L2723" s="357">
        <f>IF(23356.42=0, "-", 99933.49/23356.42)</f>
        <v>4.2786304579212056</v>
      </c>
      <c r="M2723" s="357">
        <v>13.05</v>
      </c>
      <c r="N2723" s="357">
        <f>IF(2778.92=0, "-", 21684.46/2778.92)</f>
        <v>7.803196925424265</v>
      </c>
      <c r="O2723" s="357">
        <f>IF(19268.56=0, "-", 61167.87/19268.56)</f>
        <v>3.1744909842769777</v>
      </c>
      <c r="P2723" s="343"/>
      <c r="Q2723" s="343"/>
      <c r="R2723" s="343">
        <f ca="1">IF(ISERROR(VALUE(TRIM(INDIRECT(ADDRESS(ROW()-1, COLUMN(A2289)))))), INDIRECT(ADDRESS(ROW()-2, COLUMN(R2289)))+1, INDIRECT(ADDRESS(ROW()-1, COLUMN(R2289))))</f>
        <v>9</v>
      </c>
    </row>
    <row r="2724" spans="1:18" ht="36">
      <c r="A2724" s="339">
        <v>66.382999999999996</v>
      </c>
      <c r="B2724" s="334" t="s">
        <v>4864</v>
      </c>
      <c r="C2724" s="340" t="s">
        <v>4865</v>
      </c>
      <c r="D2724" s="341">
        <v>37284.61</v>
      </c>
      <c r="E2724" s="341">
        <v>2254.11</v>
      </c>
      <c r="F2724" s="341">
        <v>3924.75</v>
      </c>
      <c r="G2724" s="341">
        <v>31105.75</v>
      </c>
      <c r="H2724" s="342">
        <v>154662.16</v>
      </c>
      <c r="I2724" s="342">
        <f>29415.23</f>
        <v>29415.23</v>
      </c>
      <c r="J2724" s="342">
        <v>30608.63</v>
      </c>
      <c r="K2724" s="342">
        <v>94638.3</v>
      </c>
      <c r="L2724" s="357">
        <f>IF(37284.61=0, "-", 154662.16/37284.61)</f>
        <v>4.1481501348679792</v>
      </c>
      <c r="M2724" s="357">
        <v>13.05</v>
      </c>
      <c r="N2724" s="357">
        <f>IF(3924.75=0, "-", 30608.63/3924.75)</f>
        <v>7.7988738136187017</v>
      </c>
      <c r="O2724" s="357">
        <f>IF(31105.75=0, "-", 94638.3/31105.75)</f>
        <v>3.0424696398575826</v>
      </c>
      <c r="P2724" s="343"/>
      <c r="Q2724" s="343"/>
      <c r="R2724" s="343">
        <f ca="1">IF(ISERROR(VALUE(TRIM(INDIRECT(ADDRESS(ROW()-1, COLUMN(A2289)))))), INDIRECT(ADDRESS(ROW()-2, COLUMN(R2289)))+1, INDIRECT(ADDRESS(ROW()-1, COLUMN(R2289))))</f>
        <v>9</v>
      </c>
    </row>
    <row r="2725" spans="1:18" ht="36">
      <c r="A2725" s="339">
        <v>66.384</v>
      </c>
      <c r="B2725" s="334" t="s">
        <v>4866</v>
      </c>
      <c r="C2725" s="340" t="s">
        <v>4867</v>
      </c>
      <c r="D2725" s="341">
        <v>43585.67</v>
      </c>
      <c r="E2725" s="341">
        <v>2512.52</v>
      </c>
      <c r="F2725" s="341">
        <v>4112.17</v>
      </c>
      <c r="G2725" s="341">
        <v>36960.980000000003</v>
      </c>
      <c r="H2725" s="342">
        <v>176386.9</v>
      </c>
      <c r="I2725" s="342">
        <f>32787.38</f>
        <v>32787.379999999997</v>
      </c>
      <c r="J2725" s="342">
        <v>32136.69</v>
      </c>
      <c r="K2725" s="342">
        <v>111462.83</v>
      </c>
      <c r="L2725" s="357">
        <f>IF(43585.67=0, "-", 176386.9/43585.67)</f>
        <v>4.0469011948193065</v>
      </c>
      <c r="M2725" s="357">
        <v>13.05</v>
      </c>
      <c r="N2725" s="357">
        <f>IF(4112.17=0, "-", 32136.69/4112.17)</f>
        <v>7.815019807060505</v>
      </c>
      <c r="O2725" s="357">
        <f>IF(36960.98=0, "-", 111462.83/36960.98)</f>
        <v>3.0156892484993634</v>
      </c>
      <c r="P2725" s="343"/>
      <c r="Q2725" s="343"/>
      <c r="R2725" s="343">
        <f ca="1">IF(ISERROR(VALUE(TRIM(INDIRECT(ADDRESS(ROW()-1, COLUMN(A2289)))))), INDIRECT(ADDRESS(ROW()-2, COLUMN(R2289)))+1, INDIRECT(ADDRESS(ROW()-1, COLUMN(R2289))))</f>
        <v>9</v>
      </c>
    </row>
    <row r="2726" spans="1:18" ht="36">
      <c r="A2726" s="339">
        <v>66.385000000000005</v>
      </c>
      <c r="B2726" s="334" t="s">
        <v>4868</v>
      </c>
      <c r="C2726" s="340" t="s">
        <v>4869</v>
      </c>
      <c r="D2726" s="341">
        <v>49924.39</v>
      </c>
      <c r="E2726" s="341">
        <v>2809.53</v>
      </c>
      <c r="F2726" s="341">
        <v>4302.92</v>
      </c>
      <c r="G2726" s="341">
        <v>42811.94</v>
      </c>
      <c r="H2726" s="342">
        <v>198606.97</v>
      </c>
      <c r="I2726" s="342">
        <f>36663.33</f>
        <v>36663.33</v>
      </c>
      <c r="J2726" s="342">
        <v>33695.43</v>
      </c>
      <c r="K2726" s="342">
        <v>128248.21</v>
      </c>
      <c r="L2726" s="357">
        <f>IF(49924.39=0, "-", 198606.97/49924.39)</f>
        <v>3.978155166242392</v>
      </c>
      <c r="M2726" s="357">
        <v>13.05</v>
      </c>
      <c r="N2726" s="357">
        <f>IF(4302.92=0, "-", 33695.43/4302.92)</f>
        <v>7.8308288325137347</v>
      </c>
      <c r="O2726" s="357">
        <f>IF(42811.94=0, "-", 128248.21/42811.94)</f>
        <v>2.9956178112928309</v>
      </c>
      <c r="P2726" s="343"/>
      <c r="Q2726" s="343"/>
      <c r="R2726" s="343">
        <f ca="1">IF(ISERROR(VALUE(TRIM(INDIRECT(ADDRESS(ROW()-1, COLUMN(A2289)))))), INDIRECT(ADDRESS(ROW()-2, COLUMN(R2289)))+1, INDIRECT(ADDRESS(ROW()-1, COLUMN(R2289))))</f>
        <v>9</v>
      </c>
    </row>
    <row r="2727" spans="1:18" ht="12.75">
      <c r="A2727" s="426" t="s">
        <v>4870</v>
      </c>
      <c r="B2727" s="427"/>
      <c r="C2727" s="427"/>
      <c r="D2727" s="427"/>
      <c r="E2727" s="427"/>
      <c r="F2727" s="427"/>
      <c r="G2727" s="427"/>
      <c r="H2727" s="427"/>
      <c r="I2727" s="427"/>
      <c r="J2727" s="427"/>
      <c r="K2727" s="427"/>
      <c r="L2727" s="427"/>
      <c r="M2727" s="427"/>
      <c r="N2727" s="427"/>
      <c r="O2727" s="427"/>
      <c r="P2727" s="427"/>
      <c r="Q2727" s="427"/>
      <c r="R2727" s="427"/>
    </row>
    <row r="2728" spans="1:18" ht="24">
      <c r="A2728" s="339">
        <v>66.385999999999996</v>
      </c>
      <c r="B2728" s="334" t="s">
        <v>4871</v>
      </c>
      <c r="C2728" s="340" t="s">
        <v>4872</v>
      </c>
      <c r="D2728" s="341">
        <v>128096.67</v>
      </c>
      <c r="E2728" s="341">
        <v>20319.099999999999</v>
      </c>
      <c r="F2728" s="341">
        <v>67517.87</v>
      </c>
      <c r="G2728" s="341">
        <v>40259.699999999997</v>
      </c>
      <c r="H2728" s="342">
        <v>1007142.38</v>
      </c>
      <c r="I2728" s="342">
        <f>265158.21</f>
        <v>265158.21000000002</v>
      </c>
      <c r="J2728" s="342">
        <v>561423.43000000005</v>
      </c>
      <c r="K2728" s="342">
        <v>180560.74</v>
      </c>
      <c r="L2728" s="357">
        <f>IF(128096.67=0, "-", 1007142.38/128096.67)</f>
        <v>7.8623619177610164</v>
      </c>
      <c r="M2728" s="357">
        <v>13.05</v>
      </c>
      <c r="N2728" s="357">
        <f>IF(67517.87=0, "-", 561423.43/67517.87)</f>
        <v>8.3151827804994447</v>
      </c>
      <c r="O2728" s="357">
        <f>IF(40259.7=0, "-", 180560.74/40259.7)</f>
        <v>4.4849002849002852</v>
      </c>
      <c r="P2728" s="343"/>
      <c r="Q2728" s="343"/>
      <c r="R2728" s="343">
        <f ca="1">IF(ISERROR(VALUE(TRIM(INDIRECT(ADDRESS(ROW()-1, COLUMN(A2289)))))), INDIRECT(ADDRESS(ROW()-2, COLUMN(R2289)))+1, INDIRECT(ADDRESS(ROW()-1, COLUMN(R2289))))</f>
        <v>10</v>
      </c>
    </row>
    <row r="2729" spans="1:18" ht="24">
      <c r="A2729" s="339">
        <v>66.387</v>
      </c>
      <c r="B2729" s="334" t="s">
        <v>4873</v>
      </c>
      <c r="C2729" s="340" t="s">
        <v>4874</v>
      </c>
      <c r="D2729" s="341">
        <v>193223.37</v>
      </c>
      <c r="E2729" s="341">
        <v>32746.02</v>
      </c>
      <c r="F2729" s="341">
        <v>100570.16</v>
      </c>
      <c r="G2729" s="341">
        <v>59907.19</v>
      </c>
      <c r="H2729" s="342">
        <v>1522470.2</v>
      </c>
      <c r="I2729" s="342">
        <f>427325.74</f>
        <v>427325.74</v>
      </c>
      <c r="J2729" s="342">
        <v>835298.49</v>
      </c>
      <c r="K2729" s="342">
        <v>259845.97</v>
      </c>
      <c r="L2729" s="357">
        <f>IF(193223.37=0, "-", 1522470.2/193223.37)</f>
        <v>7.8793274333223771</v>
      </c>
      <c r="M2729" s="357">
        <v>13.05</v>
      </c>
      <c r="N2729" s="357">
        <f>IF(100570.16=0, "-", 835298.49/100570.16)</f>
        <v>8.3056295227132981</v>
      </c>
      <c r="O2729" s="357">
        <f>IF(59907.19=0, "-", 259845.97/59907.19)</f>
        <v>4.3374755183810159</v>
      </c>
      <c r="P2729" s="343"/>
      <c r="Q2729" s="343"/>
      <c r="R2729" s="343">
        <f ca="1">IF(ISERROR(VALUE(TRIM(INDIRECT(ADDRESS(ROW()-1, COLUMN(A2289)))))), INDIRECT(ADDRESS(ROW()-2, COLUMN(R2289)))+1, INDIRECT(ADDRESS(ROW()-1, COLUMN(R2289))))</f>
        <v>10</v>
      </c>
    </row>
    <row r="2730" spans="1:18" ht="12.75">
      <c r="A2730" s="426" t="s">
        <v>4875</v>
      </c>
      <c r="B2730" s="427"/>
      <c r="C2730" s="427"/>
      <c r="D2730" s="427"/>
      <c r="E2730" s="427"/>
      <c r="F2730" s="427"/>
      <c r="G2730" s="427"/>
      <c r="H2730" s="427"/>
      <c r="I2730" s="427"/>
      <c r="J2730" s="427"/>
      <c r="K2730" s="427"/>
      <c r="L2730" s="427"/>
      <c r="M2730" s="427"/>
      <c r="N2730" s="427"/>
      <c r="O2730" s="427"/>
      <c r="P2730" s="427"/>
      <c r="Q2730" s="427"/>
      <c r="R2730" s="427"/>
    </row>
    <row r="2731" spans="1:18" ht="48">
      <c r="A2731" s="339">
        <v>66.388000000000005</v>
      </c>
      <c r="B2731" s="334" t="s">
        <v>4876</v>
      </c>
      <c r="C2731" s="340" t="s">
        <v>4877</v>
      </c>
      <c r="D2731" s="341">
        <v>104329.31</v>
      </c>
      <c r="E2731" s="341">
        <v>4841.66</v>
      </c>
      <c r="F2731" s="341">
        <v>97170.39</v>
      </c>
      <c r="G2731" s="341">
        <v>2317.2600000000002</v>
      </c>
      <c r="H2731" s="342">
        <v>535079.75</v>
      </c>
      <c r="I2731" s="342">
        <f>63182.36</f>
        <v>63182.36</v>
      </c>
      <c r="J2731" s="342">
        <v>461932.5</v>
      </c>
      <c r="K2731" s="342">
        <v>9964.89</v>
      </c>
      <c r="L2731" s="357">
        <f>IF(104329.31=0, "-", 535079.75/104329.31)</f>
        <v>5.1287576808473094</v>
      </c>
      <c r="M2731" s="357">
        <v>13.05</v>
      </c>
      <c r="N2731" s="357">
        <f>IF(97170.39=0, "-", 461932.5/97170.39)</f>
        <v>4.7538401358685505</v>
      </c>
      <c r="O2731" s="357">
        <f>IF(2317.26=0, "-", 9964.89/2317.26)</f>
        <v>4.3002899976696609</v>
      </c>
      <c r="P2731" s="343"/>
      <c r="Q2731" s="343"/>
      <c r="R2731" s="343">
        <f ca="1">IF(ISERROR(VALUE(TRIM(INDIRECT(ADDRESS(ROW()-1, COLUMN(A2289)))))), INDIRECT(ADDRESS(ROW()-2, COLUMN(R2289)))+1, INDIRECT(ADDRESS(ROW()-1, COLUMN(R2289))))</f>
        <v>11</v>
      </c>
    </row>
    <row r="2732" spans="1:18" ht="48">
      <c r="A2732" s="339">
        <v>66.388999999999996</v>
      </c>
      <c r="B2732" s="334" t="s">
        <v>4878</v>
      </c>
      <c r="C2732" s="340" t="s">
        <v>4879</v>
      </c>
      <c r="D2732" s="341">
        <v>108294.5</v>
      </c>
      <c r="E2732" s="341">
        <v>5078.59</v>
      </c>
      <c r="F2732" s="341">
        <v>100342.68</v>
      </c>
      <c r="G2732" s="341">
        <v>2873.23</v>
      </c>
      <c r="H2732" s="342">
        <v>555832.66</v>
      </c>
      <c r="I2732" s="342">
        <f>66274.33</f>
        <v>66274.33</v>
      </c>
      <c r="J2732" s="342">
        <v>476634.04</v>
      </c>
      <c r="K2732" s="342">
        <v>12924.29</v>
      </c>
      <c r="L2732" s="357">
        <f>IF(108294.5=0, "-", 555832.66/108294.5)</f>
        <v>5.1326028561007258</v>
      </c>
      <c r="M2732" s="357">
        <v>13.05</v>
      </c>
      <c r="N2732" s="357">
        <f>IF(100342.68=0, "-", 476634.04/100342.68)</f>
        <v>4.7500628845073702</v>
      </c>
      <c r="O2732" s="357">
        <f>IF(2873.23=0, "-", 12924.29/2873.23)</f>
        <v>4.4981745283183043</v>
      </c>
      <c r="P2732" s="343"/>
      <c r="Q2732" s="343"/>
      <c r="R2732" s="343">
        <f ca="1">IF(ISERROR(VALUE(TRIM(INDIRECT(ADDRESS(ROW()-1, COLUMN(A2289)))))), INDIRECT(ADDRESS(ROW()-2, COLUMN(R2289)))+1, INDIRECT(ADDRESS(ROW()-1, COLUMN(R2289))))</f>
        <v>11</v>
      </c>
    </row>
    <row r="2733" spans="1:18" ht="48">
      <c r="A2733" s="339">
        <v>66.39</v>
      </c>
      <c r="B2733" s="334" t="s">
        <v>4880</v>
      </c>
      <c r="C2733" s="340" t="s">
        <v>4881</v>
      </c>
      <c r="D2733" s="341">
        <v>118245.4</v>
      </c>
      <c r="E2733" s="341">
        <v>5876.69</v>
      </c>
      <c r="F2733" s="341">
        <v>106828.65</v>
      </c>
      <c r="G2733" s="341">
        <v>5540.06</v>
      </c>
      <c r="H2733" s="342">
        <v>614903.78</v>
      </c>
      <c r="I2733" s="342">
        <f>76689.3</f>
        <v>76689.3</v>
      </c>
      <c r="J2733" s="342">
        <v>510087.51</v>
      </c>
      <c r="K2733" s="342">
        <v>28126.97</v>
      </c>
      <c r="L2733" s="357">
        <f>IF(118245.4=0, "-", 614903.78/118245.4)</f>
        <v>5.2002342585842669</v>
      </c>
      <c r="M2733" s="357">
        <v>13.05</v>
      </c>
      <c r="N2733" s="357">
        <f>IF(106828.65=0, "-", 510087.51/106828.65)</f>
        <v>4.77481939535883</v>
      </c>
      <c r="O2733" s="357">
        <f>IF(5540.06=0, "-", 28126.97/5540.06)</f>
        <v>5.0770154113854362</v>
      </c>
      <c r="P2733" s="343"/>
      <c r="Q2733" s="343"/>
      <c r="R2733" s="343">
        <f ca="1">IF(ISERROR(VALUE(TRIM(INDIRECT(ADDRESS(ROW()-1, COLUMN(A2289)))))), INDIRECT(ADDRESS(ROW()-2, COLUMN(R2289)))+1, INDIRECT(ADDRESS(ROW()-1, COLUMN(R2289))))</f>
        <v>11</v>
      </c>
    </row>
    <row r="2734" spans="1:18" ht="48">
      <c r="A2734" s="339">
        <v>66.391000000000005</v>
      </c>
      <c r="B2734" s="334" t="s">
        <v>4882</v>
      </c>
      <c r="C2734" s="340" t="s">
        <v>4883</v>
      </c>
      <c r="D2734" s="341">
        <v>138075.75</v>
      </c>
      <c r="E2734" s="341">
        <v>6871.59</v>
      </c>
      <c r="F2734" s="341">
        <v>123560.69</v>
      </c>
      <c r="G2734" s="341">
        <v>7643.47</v>
      </c>
      <c r="H2734" s="342">
        <v>716822.7</v>
      </c>
      <c r="I2734" s="342">
        <f>89672.41</f>
        <v>89672.41</v>
      </c>
      <c r="J2734" s="342">
        <v>587557.97</v>
      </c>
      <c r="K2734" s="342">
        <v>39592.32</v>
      </c>
      <c r="L2734" s="357">
        <f>IF(138075.75=0, "-", 716822.7/138075.75)</f>
        <v>5.1915176995236303</v>
      </c>
      <c r="M2734" s="357">
        <v>13.05</v>
      </c>
      <c r="N2734" s="357">
        <f>IF(123560.69=0, "-", 587557.97/123560.69)</f>
        <v>4.7552176181599499</v>
      </c>
      <c r="O2734" s="357">
        <f>IF(7643.47=0, "-", 39592.32/7643.47)</f>
        <v>5.179888192143097</v>
      </c>
      <c r="P2734" s="343"/>
      <c r="Q2734" s="343"/>
      <c r="R2734" s="343">
        <f ca="1">IF(ISERROR(VALUE(TRIM(INDIRECT(ADDRESS(ROW()-1, COLUMN(A2289)))))), INDIRECT(ADDRESS(ROW()-2, COLUMN(R2289)))+1, INDIRECT(ADDRESS(ROW()-1, COLUMN(R2289))))</f>
        <v>11</v>
      </c>
    </row>
    <row r="2735" spans="1:18" ht="48">
      <c r="A2735" s="339">
        <v>66.391999999999996</v>
      </c>
      <c r="B2735" s="334" t="s">
        <v>4884</v>
      </c>
      <c r="C2735" s="340" t="s">
        <v>4885</v>
      </c>
      <c r="D2735" s="341">
        <v>176031.26</v>
      </c>
      <c r="E2735" s="341">
        <v>7897.87</v>
      </c>
      <c r="F2735" s="341">
        <v>155089.94</v>
      </c>
      <c r="G2735" s="341">
        <v>13043.45</v>
      </c>
      <c r="H2735" s="342">
        <v>871078.35</v>
      </c>
      <c r="I2735" s="342">
        <f>103065.09</f>
        <v>103065.09</v>
      </c>
      <c r="J2735" s="342">
        <v>695387.93</v>
      </c>
      <c r="K2735" s="342">
        <v>72625.33</v>
      </c>
      <c r="L2735" s="357">
        <f>IF(176031.26=0, "-", 871078.35/176031.26)</f>
        <v>4.9484298981896737</v>
      </c>
      <c r="M2735" s="357">
        <v>13.05</v>
      </c>
      <c r="N2735" s="357">
        <f>IF(155089.94=0, "-", 695387.93/155089.94)</f>
        <v>4.4837719970747303</v>
      </c>
      <c r="O2735" s="357">
        <f>IF(13043.45=0, "-", 72625.33/13043.45)</f>
        <v>5.5679540305670656</v>
      </c>
      <c r="P2735" s="343"/>
      <c r="Q2735" s="343"/>
      <c r="R2735" s="343">
        <f ca="1">IF(ISERROR(VALUE(TRIM(INDIRECT(ADDRESS(ROW()-1, COLUMN(A2289)))))), INDIRECT(ADDRESS(ROW()-2, COLUMN(R2289)))+1, INDIRECT(ADDRESS(ROW()-1, COLUMN(R2289))))</f>
        <v>11</v>
      </c>
    </row>
    <row r="2736" spans="1:18" ht="48">
      <c r="A2736" s="339">
        <v>66.393000000000001</v>
      </c>
      <c r="B2736" s="334" t="s">
        <v>4886</v>
      </c>
      <c r="C2736" s="340" t="s">
        <v>4887</v>
      </c>
      <c r="D2736" s="341">
        <v>189977.78</v>
      </c>
      <c r="E2736" s="341">
        <v>8606.7900000000009</v>
      </c>
      <c r="F2736" s="341">
        <v>165772.79999999999</v>
      </c>
      <c r="G2736" s="341">
        <v>15598.19</v>
      </c>
      <c r="H2736" s="342">
        <v>934801.6</v>
      </c>
      <c r="I2736" s="342">
        <f>112316.39</f>
        <v>112316.39</v>
      </c>
      <c r="J2736" s="342">
        <v>741812.53</v>
      </c>
      <c r="K2736" s="342">
        <v>80672.679999999993</v>
      </c>
      <c r="L2736" s="357">
        <f>IF(189977.78=0, "-", 934801.6/189977.78)</f>
        <v>4.9205838703873681</v>
      </c>
      <c r="M2736" s="357">
        <v>13.05</v>
      </c>
      <c r="N2736" s="357">
        <f>IF(165772.8=0, "-", 741812.53/165772.8)</f>
        <v>4.474874828681183</v>
      </c>
      <c r="O2736" s="357">
        <f>IF(15598.19=0, "-", 80672.68/15598.19)</f>
        <v>5.1719257170222948</v>
      </c>
      <c r="P2736" s="343"/>
      <c r="Q2736" s="343"/>
      <c r="R2736" s="343">
        <f ca="1">IF(ISERROR(VALUE(TRIM(INDIRECT(ADDRESS(ROW()-1, COLUMN(A2289)))))), INDIRECT(ADDRESS(ROW()-2, COLUMN(R2289)))+1, INDIRECT(ADDRESS(ROW()-1, COLUMN(R2289))))</f>
        <v>11</v>
      </c>
    </row>
    <row r="2737" spans="1:18" ht="12.75">
      <c r="A2737" s="426" t="s">
        <v>4888</v>
      </c>
      <c r="B2737" s="427"/>
      <c r="C2737" s="427"/>
      <c r="D2737" s="427"/>
      <c r="E2737" s="427"/>
      <c r="F2737" s="427"/>
      <c r="G2737" s="427"/>
      <c r="H2737" s="427"/>
      <c r="I2737" s="427"/>
      <c r="J2737" s="427"/>
      <c r="K2737" s="427"/>
      <c r="L2737" s="427"/>
      <c r="M2737" s="427"/>
      <c r="N2737" s="427"/>
      <c r="O2737" s="427"/>
      <c r="P2737" s="427"/>
      <c r="Q2737" s="427"/>
      <c r="R2737" s="427"/>
    </row>
    <row r="2738" spans="1:18" ht="48">
      <c r="A2738" s="339">
        <v>66.394000000000005</v>
      </c>
      <c r="B2738" s="334" t="s">
        <v>4889</v>
      </c>
      <c r="C2738" s="340" t="s">
        <v>4890</v>
      </c>
      <c r="D2738" s="341">
        <v>488.18</v>
      </c>
      <c r="E2738" s="341">
        <v>33.21</v>
      </c>
      <c r="F2738" s="341">
        <v>397.52</v>
      </c>
      <c r="G2738" s="341">
        <v>57.45</v>
      </c>
      <c r="H2738" s="342">
        <v>3161.29</v>
      </c>
      <c r="I2738" s="342">
        <f>433.33</f>
        <v>433.33</v>
      </c>
      <c r="J2738" s="342">
        <v>2403.73</v>
      </c>
      <c r="K2738" s="342">
        <v>324.23</v>
      </c>
      <c r="L2738" s="357">
        <f>IF(488.18=0, "-", 3161.29/488.18)</f>
        <v>6.4756647138350605</v>
      </c>
      <c r="M2738" s="357">
        <v>13.05</v>
      </c>
      <c r="N2738" s="357">
        <f>IF(397.52=0, "-", 2403.73/397.52)</f>
        <v>6.0468152545783864</v>
      </c>
      <c r="O2738" s="357">
        <f>IF(57.45=0, "-", 324.23/57.45)</f>
        <v>5.6436901653611837</v>
      </c>
      <c r="P2738" s="343"/>
      <c r="Q2738" s="343"/>
      <c r="R2738" s="343">
        <f ca="1">IF(ISERROR(VALUE(TRIM(INDIRECT(ADDRESS(ROW()-1, COLUMN(A2289)))))), INDIRECT(ADDRESS(ROW()-2, COLUMN(R2289)))+1, INDIRECT(ADDRESS(ROW()-1, COLUMN(R2289))))</f>
        <v>12</v>
      </c>
    </row>
    <row r="2739" spans="1:18" ht="48">
      <c r="A2739" s="339">
        <v>66.394999999999996</v>
      </c>
      <c r="B2739" s="334" t="s">
        <v>4891</v>
      </c>
      <c r="C2739" s="340" t="s">
        <v>4892</v>
      </c>
      <c r="D2739" s="341">
        <v>770.91</v>
      </c>
      <c r="E2739" s="341">
        <v>58.37</v>
      </c>
      <c r="F2739" s="341">
        <v>623.5</v>
      </c>
      <c r="G2739" s="341">
        <v>89.04</v>
      </c>
      <c r="H2739" s="342">
        <v>5029.97</v>
      </c>
      <c r="I2739" s="342">
        <f>761.7</f>
        <v>761.7</v>
      </c>
      <c r="J2739" s="342">
        <v>3763.55</v>
      </c>
      <c r="K2739" s="342">
        <v>504.72</v>
      </c>
      <c r="L2739" s="357">
        <f>IF(770.91=0, "-", 5029.97/770.91)</f>
        <v>6.5247175416066732</v>
      </c>
      <c r="M2739" s="357">
        <v>13.05</v>
      </c>
      <c r="N2739" s="357">
        <f>IF(623.5=0, "-", 3763.55/623.5)</f>
        <v>6.0361668003207702</v>
      </c>
      <c r="O2739" s="357">
        <f>IF(89.04=0, "-", 504.72/89.04)</f>
        <v>5.6684636118598384</v>
      </c>
      <c r="P2739" s="343"/>
      <c r="Q2739" s="343"/>
      <c r="R2739" s="343">
        <f ca="1">IF(ISERROR(VALUE(TRIM(INDIRECT(ADDRESS(ROW()-1, COLUMN(A2289)))))), INDIRECT(ADDRESS(ROW()-2, COLUMN(R2289)))+1, INDIRECT(ADDRESS(ROW()-1, COLUMN(R2289))))</f>
        <v>12</v>
      </c>
    </row>
    <row r="2740" spans="1:18" ht="48">
      <c r="A2740" s="339">
        <v>66.396000000000001</v>
      </c>
      <c r="B2740" s="334" t="s">
        <v>4893</v>
      </c>
      <c r="C2740" s="340" t="s">
        <v>4894</v>
      </c>
      <c r="D2740" s="341">
        <v>1076.3499999999999</v>
      </c>
      <c r="E2740" s="341">
        <v>89.05</v>
      </c>
      <c r="F2740" s="341">
        <v>866.58</v>
      </c>
      <c r="G2740" s="341">
        <v>120.72</v>
      </c>
      <c r="H2740" s="342">
        <v>7100.54</v>
      </c>
      <c r="I2740" s="342">
        <f>1162.04</f>
        <v>1162.04</v>
      </c>
      <c r="J2740" s="342">
        <v>5252.78</v>
      </c>
      <c r="K2740" s="342">
        <v>685.72</v>
      </c>
      <c r="L2740" s="357">
        <f>IF(1076.35=0, "-", 7100.54/1076.35)</f>
        <v>6.5968690481720635</v>
      </c>
      <c r="M2740" s="357">
        <v>13.05</v>
      </c>
      <c r="N2740" s="357">
        <f>IF(866.58=0, "-", 5252.78/866.58)</f>
        <v>6.0615061506150605</v>
      </c>
      <c r="O2740" s="357">
        <f>IF(120.72=0, "-", 685.72/120.72)</f>
        <v>5.6802518223989402</v>
      </c>
      <c r="P2740" s="343"/>
      <c r="Q2740" s="343"/>
      <c r="R2740" s="343">
        <f ca="1">IF(ISERROR(VALUE(TRIM(INDIRECT(ADDRESS(ROW()-1, COLUMN(A2289)))))), INDIRECT(ADDRESS(ROW()-2, COLUMN(R2289)))+1, INDIRECT(ADDRESS(ROW()-1, COLUMN(R2289))))</f>
        <v>12</v>
      </c>
    </row>
    <row r="2741" spans="1:18" ht="24">
      <c r="A2741" s="339">
        <v>66.397000000000006</v>
      </c>
      <c r="B2741" s="334" t="s">
        <v>4895</v>
      </c>
      <c r="C2741" s="340" t="s">
        <v>4896</v>
      </c>
      <c r="D2741" s="341">
        <v>224.44</v>
      </c>
      <c r="E2741" s="341">
        <v>16.55</v>
      </c>
      <c r="F2741" s="341">
        <v>176.3</v>
      </c>
      <c r="G2741" s="341">
        <v>31.59</v>
      </c>
      <c r="H2741" s="342">
        <v>1439.29</v>
      </c>
      <c r="I2741" s="342">
        <f>215.91</f>
        <v>215.91</v>
      </c>
      <c r="J2741" s="342">
        <v>1042.8800000000001</v>
      </c>
      <c r="K2741" s="342">
        <v>180.5</v>
      </c>
      <c r="L2741" s="357">
        <f>IF(224.44=0, "-", 1439.29/224.44)</f>
        <v>6.4128052040634467</v>
      </c>
      <c r="M2741" s="357">
        <v>13.05</v>
      </c>
      <c r="N2741" s="357">
        <f>IF(176.3=0, "-", 1042.88/176.3)</f>
        <v>5.9153715258082817</v>
      </c>
      <c r="O2741" s="357">
        <f>IF(31.59=0, "-", 180.5/31.59)</f>
        <v>5.7138334916112692</v>
      </c>
      <c r="P2741" s="343"/>
      <c r="Q2741" s="343"/>
      <c r="R2741" s="343">
        <f ca="1">IF(ISERROR(VALUE(TRIM(INDIRECT(ADDRESS(ROW()-1, COLUMN(A2289)))))), INDIRECT(ADDRESS(ROW()-2, COLUMN(R2289)))+1, INDIRECT(ADDRESS(ROW()-1, COLUMN(R2289))))</f>
        <v>12</v>
      </c>
    </row>
    <row r="2742" spans="1:18" ht="24">
      <c r="A2742" s="339">
        <v>66.397999999999996</v>
      </c>
      <c r="B2742" s="334" t="s">
        <v>4897</v>
      </c>
      <c r="C2742" s="340" t="s">
        <v>4898</v>
      </c>
      <c r="D2742" s="341">
        <v>338.11</v>
      </c>
      <c r="E2742" s="341">
        <v>29.18</v>
      </c>
      <c r="F2742" s="341">
        <v>264.31</v>
      </c>
      <c r="G2742" s="341">
        <v>44.62</v>
      </c>
      <c r="H2742" s="342">
        <v>2205.35</v>
      </c>
      <c r="I2742" s="342">
        <f>380.85</f>
        <v>380.85</v>
      </c>
      <c r="J2742" s="342">
        <v>1571.63</v>
      </c>
      <c r="K2742" s="342">
        <v>252.87</v>
      </c>
      <c r="L2742" s="357">
        <f>IF(338.11=0, "-", 2205.35/338.11)</f>
        <v>6.5225814084173788</v>
      </c>
      <c r="M2742" s="357">
        <v>13.05</v>
      </c>
      <c r="N2742" s="357">
        <f>IF(264.31=0, "-", 1571.63/264.31)</f>
        <v>5.9461617040596275</v>
      </c>
      <c r="O2742" s="357">
        <f>IF(44.62=0, "-", 252.87/44.62)</f>
        <v>5.6671896010757514</v>
      </c>
      <c r="P2742" s="343"/>
      <c r="Q2742" s="343"/>
      <c r="R2742" s="343">
        <f ca="1">IF(ISERROR(VALUE(TRIM(INDIRECT(ADDRESS(ROW()-1, COLUMN(A2289)))))), INDIRECT(ADDRESS(ROW()-2, COLUMN(R2289)))+1, INDIRECT(ADDRESS(ROW()-1, COLUMN(R2289))))</f>
        <v>12</v>
      </c>
    </row>
    <row r="2743" spans="1:18" ht="24">
      <c r="A2743" s="339">
        <v>66.399000000000001</v>
      </c>
      <c r="B2743" s="334" t="s">
        <v>4899</v>
      </c>
      <c r="C2743" s="340" t="s">
        <v>4900</v>
      </c>
      <c r="D2743" s="341">
        <v>459.69</v>
      </c>
      <c r="E2743" s="341">
        <v>44.58</v>
      </c>
      <c r="F2743" s="341">
        <v>357.66</v>
      </c>
      <c r="G2743" s="341">
        <v>57.45</v>
      </c>
      <c r="H2743" s="342">
        <v>3033.31</v>
      </c>
      <c r="I2743" s="342">
        <f>581.77</f>
        <v>581.77</v>
      </c>
      <c r="J2743" s="342">
        <v>2127.31</v>
      </c>
      <c r="K2743" s="342">
        <v>324.23</v>
      </c>
      <c r="L2743" s="357">
        <f>IF(459.69=0, "-", 3033.31/459.69)</f>
        <v>6.5985990558854883</v>
      </c>
      <c r="M2743" s="357">
        <v>13.05</v>
      </c>
      <c r="N2743" s="357">
        <f>IF(357.66=0, "-", 2127.31/357.66)</f>
        <v>5.9478555052284285</v>
      </c>
      <c r="O2743" s="357">
        <f>IF(57.45=0, "-", 324.23/57.45)</f>
        <v>5.6436901653611837</v>
      </c>
      <c r="P2743" s="343"/>
      <c r="Q2743" s="343"/>
      <c r="R2743" s="343">
        <f ca="1">IF(ISERROR(VALUE(TRIM(INDIRECT(ADDRESS(ROW()-1, COLUMN(A2289)))))), INDIRECT(ADDRESS(ROW()-2, COLUMN(R2289)))+1, INDIRECT(ADDRESS(ROW()-1, COLUMN(R2289))))</f>
        <v>12</v>
      </c>
    </row>
    <row r="2744" spans="1:18" ht="12.75">
      <c r="A2744" s="426" t="s">
        <v>4901</v>
      </c>
      <c r="B2744" s="427"/>
      <c r="C2744" s="427"/>
      <c r="D2744" s="427"/>
      <c r="E2744" s="427"/>
      <c r="F2744" s="427"/>
      <c r="G2744" s="427"/>
      <c r="H2744" s="427"/>
      <c r="I2744" s="427"/>
      <c r="J2744" s="427"/>
      <c r="K2744" s="427"/>
      <c r="L2744" s="427"/>
      <c r="M2744" s="427"/>
      <c r="N2744" s="427"/>
      <c r="O2744" s="427"/>
      <c r="P2744" s="427"/>
      <c r="Q2744" s="427"/>
      <c r="R2744" s="427"/>
    </row>
    <row r="2745" spans="1:18">
      <c r="A2745" s="339">
        <v>66.400000000000006</v>
      </c>
      <c r="B2745" s="334" t="s">
        <v>4902</v>
      </c>
      <c r="C2745" s="340" t="s">
        <v>4901</v>
      </c>
      <c r="D2745" s="341">
        <v>630.66</v>
      </c>
      <c r="E2745" s="341">
        <v>414.21</v>
      </c>
      <c r="F2745" s="341"/>
      <c r="G2745" s="341">
        <v>216.45</v>
      </c>
      <c r="H2745" s="342">
        <v>6853.68</v>
      </c>
      <c r="I2745" s="342">
        <f>5405.58</f>
        <v>5405.58</v>
      </c>
      <c r="J2745" s="342"/>
      <c r="K2745" s="342">
        <v>1448.1</v>
      </c>
      <c r="L2745" s="357">
        <f>IF(630.66=0, "-", 6853.68/630.66)</f>
        <v>10.867472172010276</v>
      </c>
      <c r="M2745" s="357">
        <v>13.05</v>
      </c>
      <c r="N2745" s="357" t="str">
        <f>IF(0=0, "-", 0/0)</f>
        <v>-</v>
      </c>
      <c r="O2745" s="357">
        <f>IF(216.45=0, "-", 1448.1/216.45)</f>
        <v>6.6902286902286905</v>
      </c>
      <c r="P2745" s="343"/>
      <c r="Q2745" s="343"/>
      <c r="R2745" s="343">
        <f ca="1">IF(ISERROR(VALUE(TRIM(INDIRECT(ADDRESS(ROW()-1, COLUMN(A2289)))))), INDIRECT(ADDRESS(ROW()-2, COLUMN(R2289)))+1, INDIRECT(ADDRESS(ROW()-1, COLUMN(R2289))))</f>
        <v>13</v>
      </c>
    </row>
    <row r="2746" spans="1:18" ht="12.75">
      <c r="A2746" s="426" t="s">
        <v>4903</v>
      </c>
      <c r="B2746" s="427"/>
      <c r="C2746" s="427"/>
      <c r="D2746" s="427"/>
      <c r="E2746" s="427"/>
      <c r="F2746" s="427"/>
      <c r="G2746" s="427"/>
      <c r="H2746" s="427"/>
      <c r="I2746" s="427"/>
      <c r="J2746" s="427"/>
      <c r="K2746" s="427"/>
      <c r="L2746" s="427"/>
      <c r="M2746" s="427"/>
      <c r="N2746" s="427"/>
      <c r="O2746" s="427"/>
      <c r="P2746" s="427"/>
      <c r="Q2746" s="427"/>
      <c r="R2746" s="427"/>
    </row>
    <row r="2747" spans="1:18" ht="36">
      <c r="A2747" s="339">
        <v>66.400999999999996</v>
      </c>
      <c r="B2747" s="334" t="s">
        <v>4904</v>
      </c>
      <c r="C2747" s="340" t="s">
        <v>4905</v>
      </c>
      <c r="D2747" s="341">
        <v>358144.39</v>
      </c>
      <c r="E2747" s="341">
        <v>54864.59</v>
      </c>
      <c r="F2747" s="341">
        <v>31319.52</v>
      </c>
      <c r="G2747" s="341">
        <v>271960.28000000003</v>
      </c>
      <c r="H2747" s="342">
        <v>2042975.33</v>
      </c>
      <c r="I2747" s="342">
        <f>715990.4</f>
        <v>715990.4</v>
      </c>
      <c r="J2747" s="342">
        <v>237827.3</v>
      </c>
      <c r="K2747" s="342">
        <v>1089157.6299999999</v>
      </c>
      <c r="L2747" s="357">
        <f>IF(358144.39=0, "-", 2042975.33/358144.39)</f>
        <v>5.7043343049433215</v>
      </c>
      <c r="M2747" s="357">
        <v>13.05</v>
      </c>
      <c r="N2747" s="357">
        <f>IF(31319.52=0, "-", 237827.3/31319.52)</f>
        <v>7.5935806168166042</v>
      </c>
      <c r="O2747" s="357">
        <f>IF(271960.28=0, "-", 1089157.63/271960.28)</f>
        <v>4.0048408171958041</v>
      </c>
      <c r="P2747" s="343"/>
      <c r="Q2747" s="343"/>
      <c r="R2747" s="343">
        <f ca="1">IF(ISERROR(VALUE(TRIM(INDIRECT(ADDRESS(ROW()-1, COLUMN(A2289)))))), INDIRECT(ADDRESS(ROW()-2, COLUMN(R2289)))+1, INDIRECT(ADDRESS(ROW()-1, COLUMN(R2289))))</f>
        <v>14</v>
      </c>
    </row>
    <row r="2748" spans="1:18" ht="36">
      <c r="A2748" s="339">
        <v>66.402000000000001</v>
      </c>
      <c r="B2748" s="334" t="s">
        <v>4906</v>
      </c>
      <c r="C2748" s="340" t="s">
        <v>4907</v>
      </c>
      <c r="D2748" s="341">
        <v>511503.77</v>
      </c>
      <c r="E2748" s="341">
        <v>64973.88</v>
      </c>
      <c r="F2748" s="341">
        <v>48172.01</v>
      </c>
      <c r="G2748" s="341">
        <v>398357.88</v>
      </c>
      <c r="H2748" s="342">
        <v>2858228.85</v>
      </c>
      <c r="I2748" s="342">
        <f>847918.07</f>
        <v>847918.07</v>
      </c>
      <c r="J2748" s="342">
        <v>368339.82</v>
      </c>
      <c r="K2748" s="342">
        <v>1641970.96</v>
      </c>
      <c r="L2748" s="357">
        <f>IF(511503.77=0, "-", 2858228.85/511503.77)</f>
        <v>5.5878940051605097</v>
      </c>
      <c r="M2748" s="357">
        <v>13.05</v>
      </c>
      <c r="N2748" s="357">
        <f>IF(48172.01=0, "-", 368339.82/48172.01)</f>
        <v>7.6463452531874836</v>
      </c>
      <c r="O2748" s="357">
        <f>IF(398357.88=0, "-", 1641970.96/398357.88)</f>
        <v>4.1218488259853174</v>
      </c>
      <c r="P2748" s="343"/>
      <c r="Q2748" s="343"/>
      <c r="R2748" s="343">
        <f ca="1">IF(ISERROR(VALUE(TRIM(INDIRECT(ADDRESS(ROW()-1, COLUMN(A2289)))))), INDIRECT(ADDRESS(ROW()-2, COLUMN(R2289)))+1, INDIRECT(ADDRESS(ROW()-1, COLUMN(R2289))))</f>
        <v>14</v>
      </c>
    </row>
    <row r="2749" spans="1:18" ht="36">
      <c r="A2749" s="339">
        <v>66.403000000000006</v>
      </c>
      <c r="B2749" s="334" t="s">
        <v>4908</v>
      </c>
      <c r="C2749" s="340" t="s">
        <v>4909</v>
      </c>
      <c r="D2749" s="341">
        <v>722654.96</v>
      </c>
      <c r="E2749" s="341">
        <v>85185.34</v>
      </c>
      <c r="F2749" s="341">
        <v>64272.55</v>
      </c>
      <c r="G2749" s="341">
        <v>573197.06999999995</v>
      </c>
      <c r="H2749" s="342">
        <v>4248854.2300000004</v>
      </c>
      <c r="I2749" s="342">
        <f>1111680.35</f>
        <v>1111680.3500000001</v>
      </c>
      <c r="J2749" s="342">
        <v>494614</v>
      </c>
      <c r="K2749" s="342">
        <v>2642559.88</v>
      </c>
      <c r="L2749" s="357">
        <f>IF(722654.96=0, "-", 4248854.23/722654.96)</f>
        <v>5.8795060785302029</v>
      </c>
      <c r="M2749" s="357">
        <v>13.05</v>
      </c>
      <c r="N2749" s="357">
        <f>IF(64272.55=0, "-", 494614/64272.55)</f>
        <v>7.695571437573272</v>
      </c>
      <c r="O2749" s="357">
        <f>IF(573197.07=0, "-", 2642559.88/573197.07)</f>
        <v>4.6102117723665268</v>
      </c>
      <c r="P2749" s="343"/>
      <c r="Q2749" s="343"/>
      <c r="R2749" s="343">
        <f ca="1">IF(ISERROR(VALUE(TRIM(INDIRECT(ADDRESS(ROW()-1, COLUMN(A2289)))))), INDIRECT(ADDRESS(ROW()-2, COLUMN(R2289)))+1, INDIRECT(ADDRESS(ROW()-1, COLUMN(R2289))))</f>
        <v>14</v>
      </c>
    </row>
    <row r="2750" spans="1:18" ht="36">
      <c r="A2750" s="339">
        <v>66.403999999999996</v>
      </c>
      <c r="B2750" s="334" t="s">
        <v>4910</v>
      </c>
      <c r="C2750" s="340" t="s">
        <v>4911</v>
      </c>
      <c r="D2750" s="341">
        <v>1052368.8</v>
      </c>
      <c r="E2750" s="341">
        <v>109464.47</v>
      </c>
      <c r="F2750" s="341">
        <v>108785.05</v>
      </c>
      <c r="G2750" s="341">
        <v>834119.28</v>
      </c>
      <c r="H2750" s="342">
        <v>5701078.7999999998</v>
      </c>
      <c r="I2750" s="342">
        <f>1428526.35</f>
        <v>1428526.35</v>
      </c>
      <c r="J2750" s="342">
        <v>836575.3</v>
      </c>
      <c r="K2750" s="342">
        <v>3435977.15</v>
      </c>
      <c r="L2750" s="357">
        <f>IF(1052368.8=0, "-", 5701078.8/1052368.8)</f>
        <v>5.417377254057703</v>
      </c>
      <c r="M2750" s="357">
        <v>13.05</v>
      </c>
      <c r="N2750" s="357">
        <f>IF(108785.05=0, "-", 836575.3/108785.05)</f>
        <v>7.6901679045052607</v>
      </c>
      <c r="O2750" s="357">
        <f>IF(834119.28=0, "-", 3435977.15/834119.28)</f>
        <v>4.1192875316345638</v>
      </c>
      <c r="P2750" s="343"/>
      <c r="Q2750" s="343"/>
      <c r="R2750" s="343">
        <f ca="1">IF(ISERROR(VALUE(TRIM(INDIRECT(ADDRESS(ROW()-1, COLUMN(A2289)))))), INDIRECT(ADDRESS(ROW()-2, COLUMN(R2289)))+1, INDIRECT(ADDRESS(ROW()-1, COLUMN(R2289))))</f>
        <v>14</v>
      </c>
    </row>
    <row r="2751" spans="1:18" ht="36">
      <c r="A2751" s="339">
        <v>66.405000000000001</v>
      </c>
      <c r="B2751" s="334" t="s">
        <v>4912</v>
      </c>
      <c r="C2751" s="340" t="s">
        <v>4913</v>
      </c>
      <c r="D2751" s="341">
        <v>1273747.19</v>
      </c>
      <c r="E2751" s="341">
        <v>125311.41</v>
      </c>
      <c r="F2751" s="341">
        <v>116556.74</v>
      </c>
      <c r="G2751" s="341">
        <v>1031879.04</v>
      </c>
      <c r="H2751" s="342">
        <v>6804903.7699999996</v>
      </c>
      <c r="I2751" s="342">
        <f>1635331</f>
        <v>1635331</v>
      </c>
      <c r="J2751" s="342">
        <v>895019.78</v>
      </c>
      <c r="K2751" s="342">
        <v>4274552.99</v>
      </c>
      <c r="L2751" s="357">
        <f>IF(1273747.19=0, "-", 6804903.77/1273747.19)</f>
        <v>5.3424288771149318</v>
      </c>
      <c r="M2751" s="357">
        <v>13.05</v>
      </c>
      <c r="N2751" s="357">
        <f>IF(116556.74=0, "-", 895019.78/116556.74)</f>
        <v>7.6788333304448972</v>
      </c>
      <c r="O2751" s="357">
        <f>IF(1031879.04=0, "-", 4274552.99/1031879.04)</f>
        <v>4.1424942501012518</v>
      </c>
      <c r="P2751" s="343"/>
      <c r="Q2751" s="343"/>
      <c r="R2751" s="343">
        <f ca="1">IF(ISERROR(VALUE(TRIM(INDIRECT(ADDRESS(ROW()-1, COLUMN(A2289)))))), INDIRECT(ADDRESS(ROW()-2, COLUMN(R2289)))+1, INDIRECT(ADDRESS(ROW()-1, COLUMN(R2289))))</f>
        <v>14</v>
      </c>
    </row>
    <row r="2752" spans="1:18" ht="36">
      <c r="A2752" s="339">
        <v>66.406000000000006</v>
      </c>
      <c r="B2752" s="334" t="s">
        <v>4914</v>
      </c>
      <c r="C2752" s="340" t="s">
        <v>4915</v>
      </c>
      <c r="D2752" s="341">
        <v>1454021.05</v>
      </c>
      <c r="E2752" s="341">
        <v>136279.21</v>
      </c>
      <c r="F2752" s="341">
        <v>127459.9</v>
      </c>
      <c r="G2752" s="341">
        <v>1190281.94</v>
      </c>
      <c r="H2752" s="342">
        <v>7681979.3399999999</v>
      </c>
      <c r="I2752" s="342">
        <f>1778462.36</f>
        <v>1778462.36</v>
      </c>
      <c r="J2752" s="342">
        <v>978482.72</v>
      </c>
      <c r="K2752" s="342">
        <v>4925034.26</v>
      </c>
      <c r="L2752" s="357">
        <f>IF(1454021.05=0, "-", 7681979.34/1454021.05)</f>
        <v>5.2832655620769726</v>
      </c>
      <c r="M2752" s="357">
        <v>13.05</v>
      </c>
      <c r="N2752" s="357">
        <f>IF(127459.9=0, "-", 978482.72/127459.9)</f>
        <v>7.6767886998185313</v>
      </c>
      <c r="O2752" s="357">
        <f>IF(1190281.94=0, "-", 4925034.26/1190281.94)</f>
        <v>4.1377039292052098</v>
      </c>
      <c r="P2752" s="343"/>
      <c r="Q2752" s="343"/>
      <c r="R2752" s="343">
        <f ca="1">IF(ISERROR(VALUE(TRIM(INDIRECT(ADDRESS(ROW()-1, COLUMN(A2289)))))), INDIRECT(ADDRESS(ROW()-2, COLUMN(R2289)))+1, INDIRECT(ADDRESS(ROW()-1, COLUMN(R2289))))</f>
        <v>14</v>
      </c>
    </row>
    <row r="2753" spans="1:18" ht="36">
      <c r="A2753" s="339">
        <v>66.406999999999996</v>
      </c>
      <c r="B2753" s="334" t="s">
        <v>4916</v>
      </c>
      <c r="C2753" s="340" t="s">
        <v>4917</v>
      </c>
      <c r="D2753" s="341">
        <v>1838924.92</v>
      </c>
      <c r="E2753" s="341">
        <v>143889.76</v>
      </c>
      <c r="F2753" s="341">
        <v>137363.85</v>
      </c>
      <c r="G2753" s="341">
        <v>1557671.31</v>
      </c>
      <c r="H2753" s="342">
        <v>10014207.550000001</v>
      </c>
      <c r="I2753" s="342">
        <f>1877781.05</f>
        <v>1877781.05</v>
      </c>
      <c r="J2753" s="342">
        <v>1054146.47</v>
      </c>
      <c r="K2753" s="342">
        <v>7082280.0300000003</v>
      </c>
      <c r="L2753" s="357">
        <f>IF(1838924.92=0, "-", 10014207.55/1838924.92)</f>
        <v>5.4456859228380035</v>
      </c>
      <c r="M2753" s="357">
        <v>13.05</v>
      </c>
      <c r="N2753" s="357">
        <f>IF(137363.85=0, "-", 1054146.47/137363.85)</f>
        <v>7.6741185544814003</v>
      </c>
      <c r="O2753" s="357">
        <f>IF(1557671.31=0, "-", 7082280.03/1557671.31)</f>
        <v>4.5467101978016142</v>
      </c>
      <c r="P2753" s="343"/>
      <c r="Q2753" s="343"/>
      <c r="R2753" s="343">
        <f ca="1">IF(ISERROR(VALUE(TRIM(INDIRECT(ADDRESS(ROW()-1, COLUMN(A2289)))))), INDIRECT(ADDRESS(ROW()-2, COLUMN(R2289)))+1, INDIRECT(ADDRESS(ROW()-1, COLUMN(R2289))))</f>
        <v>14</v>
      </c>
    </row>
    <row r="2754" spans="1:18" ht="12.75">
      <c r="A2754" s="426" t="s">
        <v>4918</v>
      </c>
      <c r="B2754" s="427"/>
      <c r="C2754" s="427"/>
      <c r="D2754" s="427"/>
      <c r="E2754" s="427"/>
      <c r="F2754" s="427"/>
      <c r="G2754" s="427"/>
      <c r="H2754" s="427"/>
      <c r="I2754" s="427"/>
      <c r="J2754" s="427"/>
      <c r="K2754" s="427"/>
      <c r="L2754" s="427"/>
      <c r="M2754" s="427"/>
      <c r="N2754" s="427"/>
      <c r="O2754" s="427"/>
      <c r="P2754" s="427"/>
      <c r="Q2754" s="427"/>
      <c r="R2754" s="427"/>
    </row>
    <row r="2755" spans="1:18" ht="36">
      <c r="A2755" s="339">
        <v>66.408000000000001</v>
      </c>
      <c r="B2755" s="334" t="s">
        <v>4919</v>
      </c>
      <c r="C2755" s="340" t="s">
        <v>4918</v>
      </c>
      <c r="D2755" s="341">
        <v>32.799999999999997</v>
      </c>
      <c r="E2755" s="341">
        <v>2.12</v>
      </c>
      <c r="F2755" s="341">
        <v>30.68</v>
      </c>
      <c r="G2755" s="341"/>
      <c r="H2755" s="342">
        <v>241.53</v>
      </c>
      <c r="I2755" s="342">
        <f>27.61</f>
        <v>27.61</v>
      </c>
      <c r="J2755" s="342">
        <v>213.92</v>
      </c>
      <c r="K2755" s="342"/>
      <c r="L2755" s="357">
        <f>IF(32.8=0, "-", 241.53/32.8)</f>
        <v>7.3637195121951224</v>
      </c>
      <c r="M2755" s="357">
        <v>13.05</v>
      </c>
      <c r="N2755" s="357">
        <f>IF(30.68=0, "-", 213.92/30.68)</f>
        <v>6.9726205997392432</v>
      </c>
      <c r="O2755" s="357" t="str">
        <f>IF(0=0, "-", 0/0)</f>
        <v>-</v>
      </c>
      <c r="P2755" s="343"/>
      <c r="Q2755" s="343"/>
      <c r="R2755" s="343">
        <f ca="1">IF(ISERROR(VALUE(TRIM(INDIRECT(ADDRESS(ROW()-1, COLUMN(A2289)))))), INDIRECT(ADDRESS(ROW()-2, COLUMN(R2289)))+1, INDIRECT(ADDRESS(ROW()-1, COLUMN(R2289))))</f>
        <v>15</v>
      </c>
    </row>
    <row r="2756" spans="1:18" ht="12.75">
      <c r="A2756" s="426" t="s">
        <v>4920</v>
      </c>
      <c r="B2756" s="427"/>
      <c r="C2756" s="427"/>
      <c r="D2756" s="427"/>
      <c r="E2756" s="427"/>
      <c r="F2756" s="427"/>
      <c r="G2756" s="427"/>
      <c r="H2756" s="427"/>
      <c r="I2756" s="427"/>
      <c r="J2756" s="427"/>
      <c r="K2756" s="427"/>
      <c r="L2756" s="427"/>
      <c r="M2756" s="427"/>
      <c r="N2756" s="427"/>
      <c r="O2756" s="427"/>
      <c r="P2756" s="427"/>
      <c r="Q2756" s="427"/>
      <c r="R2756" s="427"/>
    </row>
    <row r="2757" spans="1:18" ht="36">
      <c r="A2757" s="339">
        <v>66.409000000000006</v>
      </c>
      <c r="B2757" s="334" t="s">
        <v>4921</v>
      </c>
      <c r="C2757" s="340" t="s">
        <v>4922</v>
      </c>
      <c r="D2757" s="341">
        <v>8030.63</v>
      </c>
      <c r="E2757" s="341">
        <v>482.87</v>
      </c>
      <c r="F2757" s="341">
        <v>7547.76</v>
      </c>
      <c r="G2757" s="341"/>
      <c r="H2757" s="342">
        <v>59860.37</v>
      </c>
      <c r="I2757" s="342">
        <f>6301.51</f>
        <v>6301.51</v>
      </c>
      <c r="J2757" s="342">
        <v>53558.86</v>
      </c>
      <c r="K2757" s="342"/>
      <c r="L2757" s="357">
        <f>IF(8030.63=0, "-", 59860.37/8030.63)</f>
        <v>7.4540067217640464</v>
      </c>
      <c r="M2757" s="357">
        <v>13.05</v>
      </c>
      <c r="N2757" s="357">
        <f>IF(7547.76=0, "-", 53558.86/7547.76)</f>
        <v>7.0959940432658168</v>
      </c>
      <c r="O2757" s="357" t="str">
        <f>IF(0=0, "-", 0/0)</f>
        <v>-</v>
      </c>
      <c r="P2757" s="343"/>
      <c r="Q2757" s="343"/>
      <c r="R2757" s="343">
        <f ca="1">IF(ISERROR(VALUE(TRIM(INDIRECT(ADDRESS(ROW()-1, COLUMN(A2289)))))), INDIRECT(ADDRESS(ROW()-2, COLUMN(R2289)))+1, INDIRECT(ADDRESS(ROW()-1, COLUMN(R2289))))</f>
        <v>16</v>
      </c>
    </row>
    <row r="2758" spans="1:18" ht="36">
      <c r="A2758" s="339">
        <v>66.41</v>
      </c>
      <c r="B2758" s="334" t="s">
        <v>4923</v>
      </c>
      <c r="C2758" s="340" t="s">
        <v>4924</v>
      </c>
      <c r="D2758" s="341">
        <v>6373.13</v>
      </c>
      <c r="E2758" s="341">
        <v>385.11</v>
      </c>
      <c r="F2758" s="341">
        <v>5988.02</v>
      </c>
      <c r="G2758" s="341"/>
      <c r="H2758" s="342">
        <v>47697.73</v>
      </c>
      <c r="I2758" s="342">
        <f>5025.75</f>
        <v>5025.75</v>
      </c>
      <c r="J2758" s="342">
        <v>42671.98</v>
      </c>
      <c r="K2758" s="342"/>
      <c r="L2758" s="357">
        <f>IF(6373.13=0, "-", 47697.73/6373.13)</f>
        <v>7.4841922257979991</v>
      </c>
      <c r="M2758" s="357">
        <v>13.05</v>
      </c>
      <c r="N2758" s="357">
        <f>IF(5988.02=0, "-", 42671.98/5988.02)</f>
        <v>7.1262253633087402</v>
      </c>
      <c r="O2758" s="357" t="str">
        <f>IF(0=0, "-", 0/0)</f>
        <v>-</v>
      </c>
      <c r="P2758" s="343"/>
      <c r="Q2758" s="343"/>
      <c r="R2758" s="343">
        <f ca="1">IF(ISERROR(VALUE(TRIM(INDIRECT(ADDRESS(ROW()-1, COLUMN(A2289)))))), INDIRECT(ADDRESS(ROW()-2, COLUMN(R2289)))+1, INDIRECT(ADDRESS(ROW()-1, COLUMN(R2289))))</f>
        <v>16</v>
      </c>
    </row>
    <row r="2759" spans="1:18" ht="36">
      <c r="A2759" s="339">
        <v>66.411000000000001</v>
      </c>
      <c r="B2759" s="334" t="s">
        <v>4925</v>
      </c>
      <c r="C2759" s="340" t="s">
        <v>4926</v>
      </c>
      <c r="D2759" s="341">
        <v>1900.65</v>
      </c>
      <c r="E2759" s="341">
        <v>109.5</v>
      </c>
      <c r="F2759" s="341">
        <v>1791.15</v>
      </c>
      <c r="G2759" s="341"/>
      <c r="H2759" s="342">
        <v>13890.65</v>
      </c>
      <c r="I2759" s="342">
        <f>1429.02</f>
        <v>1429.02</v>
      </c>
      <c r="J2759" s="342">
        <v>12461.63</v>
      </c>
      <c r="K2759" s="342"/>
      <c r="L2759" s="357">
        <f>IF(1900.65=0, "-", 13890.65/1900.65)</f>
        <v>7.3083681898297943</v>
      </c>
      <c r="M2759" s="357">
        <v>13.05</v>
      </c>
      <c r="N2759" s="357">
        <f>IF(1791.15=0, "-", 12461.63/1791.15)</f>
        <v>6.9573346732546124</v>
      </c>
      <c r="O2759" s="357" t="str">
        <f>IF(0=0, "-", 0/0)</f>
        <v>-</v>
      </c>
      <c r="P2759" s="343"/>
      <c r="Q2759" s="343"/>
      <c r="R2759" s="343">
        <f ca="1">IF(ISERROR(VALUE(TRIM(INDIRECT(ADDRESS(ROW()-1, COLUMN(A2289)))))), INDIRECT(ADDRESS(ROW()-2, COLUMN(R2289)))+1, INDIRECT(ADDRESS(ROW()-1, COLUMN(R2289))))</f>
        <v>16</v>
      </c>
    </row>
    <row r="2760" spans="1:18">
      <c r="A2760" s="333"/>
      <c r="B2760" s="336"/>
      <c r="C2760" s="335"/>
      <c r="D2760" s="337"/>
      <c r="E2760" s="337"/>
      <c r="F2760" s="337"/>
      <c r="G2760" s="337"/>
      <c r="H2760" s="338"/>
      <c r="I2760" s="338"/>
      <c r="J2760" s="338"/>
      <c r="K2760" s="338"/>
      <c r="L2760" s="355"/>
      <c r="M2760" s="355"/>
      <c r="N2760" s="355"/>
      <c r="O2760" s="354"/>
      <c r="P2760" s="313"/>
      <c r="Q2760" s="313"/>
      <c r="R2760" s="313"/>
    </row>
    <row r="2761" spans="1:18">
      <c r="O2761" s="352"/>
    </row>
    <row r="2762" spans="1:18" ht="23.25">
      <c r="A2762" s="61"/>
      <c r="B2762" s="60"/>
      <c r="C2762" s="45" t="s">
        <v>4927</v>
      </c>
      <c r="D2762" s="45"/>
      <c r="E2762" s="45"/>
      <c r="F2762" s="45"/>
      <c r="G2762" s="45"/>
      <c r="H2762" s="58"/>
      <c r="I2762" s="58"/>
      <c r="J2762" s="58"/>
      <c r="K2762" s="58"/>
      <c r="L2762" s="351"/>
      <c r="M2762" s="351"/>
      <c r="N2762" s="351"/>
      <c r="O2762" s="350"/>
    </row>
    <row r="2763" spans="1:18" ht="12.75">
      <c r="A2763" s="428" t="s">
        <v>4928</v>
      </c>
      <c r="B2763" s="429"/>
      <c r="C2763" s="429"/>
      <c r="D2763" s="429"/>
      <c r="E2763" s="429"/>
      <c r="F2763" s="429"/>
      <c r="G2763" s="429"/>
      <c r="H2763" s="429"/>
      <c r="I2763" s="429"/>
      <c r="J2763" s="429"/>
      <c r="K2763" s="429"/>
      <c r="L2763" s="429"/>
      <c r="M2763" s="429"/>
      <c r="N2763" s="429"/>
      <c r="O2763" s="429"/>
      <c r="P2763" s="429"/>
      <c r="Q2763" s="429"/>
      <c r="R2763" s="429"/>
    </row>
    <row r="2764" spans="1:18">
      <c r="A2764" s="369">
        <v>67.099999999999994</v>
      </c>
      <c r="B2764" s="364" t="s">
        <v>4929</v>
      </c>
      <c r="C2764" s="370" t="s">
        <v>4930</v>
      </c>
      <c r="D2764" s="371">
        <v>23.67</v>
      </c>
      <c r="E2764" s="371">
        <v>23.67</v>
      </c>
      <c r="F2764" s="371"/>
      <c r="G2764" s="371"/>
      <c r="H2764" s="372">
        <v>308.94</v>
      </c>
      <c r="I2764" s="372">
        <v>308.94</v>
      </c>
      <c r="J2764" s="372"/>
      <c r="K2764" s="372"/>
      <c r="L2764" s="357">
        <v>13.051964512040557</v>
      </c>
      <c r="M2764" s="357">
        <v>13.05</v>
      </c>
      <c r="N2764" s="357" t="s">
        <v>135</v>
      </c>
      <c r="O2764" s="357" t="s">
        <v>135</v>
      </c>
      <c r="P2764" s="373"/>
      <c r="Q2764" s="373"/>
      <c r="R2764" s="373">
        <v>1</v>
      </c>
    </row>
    <row r="2765" spans="1:18">
      <c r="A2765" s="369">
        <v>67.2</v>
      </c>
      <c r="B2765" s="364" t="s">
        <v>4931</v>
      </c>
      <c r="C2765" s="370" t="s">
        <v>4932</v>
      </c>
      <c r="D2765" s="371">
        <v>25.82</v>
      </c>
      <c r="E2765" s="371">
        <v>25.82</v>
      </c>
      <c r="F2765" s="371"/>
      <c r="G2765" s="371"/>
      <c r="H2765" s="372">
        <v>336.92</v>
      </c>
      <c r="I2765" s="372">
        <v>336.92</v>
      </c>
      <c r="J2765" s="372"/>
      <c r="K2765" s="372"/>
      <c r="L2765" s="357">
        <v>13.048799380325329</v>
      </c>
      <c r="M2765" s="357">
        <v>13.05</v>
      </c>
      <c r="N2765" s="357" t="s">
        <v>135</v>
      </c>
      <c r="O2765" s="357" t="s">
        <v>135</v>
      </c>
      <c r="P2765" s="373"/>
      <c r="Q2765" s="373"/>
      <c r="R2765" s="373">
        <v>1</v>
      </c>
    </row>
    <row r="2766" spans="1:18" ht="24">
      <c r="A2766" s="369">
        <v>67.3</v>
      </c>
      <c r="B2766" s="364" t="s">
        <v>4933</v>
      </c>
      <c r="C2766" s="370" t="s">
        <v>4934</v>
      </c>
      <c r="D2766" s="371">
        <v>127.78</v>
      </c>
      <c r="E2766" s="371">
        <v>127.78</v>
      </c>
      <c r="F2766" s="371"/>
      <c r="G2766" s="371"/>
      <c r="H2766" s="372">
        <v>1667.55</v>
      </c>
      <c r="I2766" s="372">
        <v>1667.55</v>
      </c>
      <c r="J2766" s="372"/>
      <c r="K2766" s="372"/>
      <c r="L2766" s="357">
        <v>13.050164344967913</v>
      </c>
      <c r="M2766" s="357">
        <v>13.05</v>
      </c>
      <c r="N2766" s="357" t="s">
        <v>135</v>
      </c>
      <c r="O2766" s="357" t="s">
        <v>135</v>
      </c>
      <c r="P2766" s="373"/>
      <c r="Q2766" s="373"/>
      <c r="R2766" s="373">
        <v>1</v>
      </c>
    </row>
    <row r="2767" spans="1:18" ht="24">
      <c r="A2767" s="369">
        <v>67.400000000000006</v>
      </c>
      <c r="B2767" s="364" t="s">
        <v>4935</v>
      </c>
      <c r="C2767" s="370" t="s">
        <v>4936</v>
      </c>
      <c r="D2767" s="371">
        <v>146.51</v>
      </c>
      <c r="E2767" s="371">
        <v>146.51</v>
      </c>
      <c r="F2767" s="371"/>
      <c r="G2767" s="371"/>
      <c r="H2767" s="372">
        <v>1912.02</v>
      </c>
      <c r="I2767" s="372">
        <v>1912.02</v>
      </c>
      <c r="J2767" s="372"/>
      <c r="K2767" s="372"/>
      <c r="L2767" s="357">
        <v>13.050440242986827</v>
      </c>
      <c r="M2767" s="357">
        <v>13.05</v>
      </c>
      <c r="N2767" s="357" t="s">
        <v>135</v>
      </c>
      <c r="O2767" s="357" t="s">
        <v>135</v>
      </c>
      <c r="P2767" s="373"/>
      <c r="Q2767" s="373"/>
      <c r="R2767" s="373">
        <v>1</v>
      </c>
    </row>
    <row r="2768" spans="1:18" ht="24">
      <c r="A2768" s="374">
        <v>67.5</v>
      </c>
      <c r="B2768" s="375" t="s">
        <v>4937</v>
      </c>
      <c r="C2768" s="376" t="s">
        <v>4938</v>
      </c>
      <c r="D2768" s="377">
        <v>168.32</v>
      </c>
      <c r="E2768" s="377">
        <v>168.32</v>
      </c>
      <c r="F2768" s="377"/>
      <c r="G2768" s="377"/>
      <c r="H2768" s="378">
        <v>2196.64</v>
      </c>
      <c r="I2768" s="378">
        <v>2196.64</v>
      </c>
      <c r="J2768" s="378"/>
      <c r="K2768" s="378"/>
      <c r="L2768" s="356">
        <v>13.050380228136882</v>
      </c>
      <c r="M2768" s="356">
        <v>13.05</v>
      </c>
      <c r="N2768" s="356" t="s">
        <v>135</v>
      </c>
      <c r="O2768" s="356" t="s">
        <v>135</v>
      </c>
      <c r="P2768" s="379"/>
      <c r="Q2768" s="379"/>
      <c r="R2768" s="379">
        <v>1</v>
      </c>
    </row>
    <row r="2769" spans="1:18" ht="12.75">
      <c r="A2769" s="428" t="s">
        <v>4939</v>
      </c>
      <c r="B2769" s="429"/>
      <c r="C2769" s="429"/>
      <c r="D2769" s="429"/>
      <c r="E2769" s="429"/>
      <c r="F2769" s="429"/>
      <c r="G2769" s="429"/>
      <c r="H2769" s="429"/>
      <c r="I2769" s="429"/>
      <c r="J2769" s="429"/>
      <c r="K2769" s="429"/>
      <c r="L2769" s="429"/>
      <c r="M2769" s="429"/>
      <c r="N2769" s="429"/>
      <c r="O2769" s="429"/>
      <c r="P2769" s="429"/>
      <c r="Q2769" s="429"/>
      <c r="R2769" s="429"/>
    </row>
    <row r="2770" spans="1:18" ht="24">
      <c r="A2770" s="369">
        <v>67.599999999999994</v>
      </c>
      <c r="B2770" s="364" t="s">
        <v>4940</v>
      </c>
      <c r="C2770" s="370" t="s">
        <v>4941</v>
      </c>
      <c r="D2770" s="371">
        <v>21.96</v>
      </c>
      <c r="E2770" s="371">
        <v>21.96</v>
      </c>
      <c r="F2770" s="371"/>
      <c r="G2770" s="371"/>
      <c r="H2770" s="372">
        <v>286.58</v>
      </c>
      <c r="I2770" s="372">
        <v>286.58</v>
      </c>
      <c r="J2770" s="372"/>
      <c r="K2770" s="372"/>
      <c r="L2770" s="357">
        <v>13.050091074681237</v>
      </c>
      <c r="M2770" s="357">
        <v>13.05</v>
      </c>
      <c r="N2770" s="357" t="s">
        <v>135</v>
      </c>
      <c r="O2770" s="357" t="s">
        <v>135</v>
      </c>
      <c r="P2770" s="373"/>
      <c r="Q2770" s="373"/>
      <c r="R2770" s="373">
        <v>2</v>
      </c>
    </row>
    <row r="2771" spans="1:18" ht="24">
      <c r="A2771" s="369">
        <v>67.7</v>
      </c>
      <c r="B2771" s="364" t="s">
        <v>4942</v>
      </c>
      <c r="C2771" s="370" t="s">
        <v>4943</v>
      </c>
      <c r="D2771" s="371">
        <v>28.79</v>
      </c>
      <c r="E2771" s="371">
        <v>28.79</v>
      </c>
      <c r="F2771" s="371"/>
      <c r="G2771" s="371"/>
      <c r="H2771" s="372">
        <v>375.74</v>
      </c>
      <c r="I2771" s="372">
        <v>375.74</v>
      </c>
      <c r="J2771" s="372"/>
      <c r="K2771" s="372"/>
      <c r="L2771" s="357">
        <v>13.051059395623481</v>
      </c>
      <c r="M2771" s="357">
        <v>13.05</v>
      </c>
      <c r="N2771" s="357" t="s">
        <v>135</v>
      </c>
      <c r="O2771" s="357" t="s">
        <v>135</v>
      </c>
      <c r="P2771" s="373"/>
      <c r="Q2771" s="373"/>
      <c r="R2771" s="373">
        <v>2</v>
      </c>
    </row>
    <row r="2772" spans="1:18" ht="24">
      <c r="A2772" s="369">
        <v>67.8</v>
      </c>
      <c r="B2772" s="364" t="s">
        <v>4944</v>
      </c>
      <c r="C2772" s="370" t="s">
        <v>4945</v>
      </c>
      <c r="D2772" s="371">
        <v>39.21</v>
      </c>
      <c r="E2772" s="371">
        <v>38.840000000000003</v>
      </c>
      <c r="F2772" s="371">
        <v>0.37</v>
      </c>
      <c r="G2772" s="371"/>
      <c r="H2772" s="372">
        <v>509.71</v>
      </c>
      <c r="I2772" s="372">
        <v>506.93</v>
      </c>
      <c r="J2772" s="372">
        <v>2.78</v>
      </c>
      <c r="K2772" s="372"/>
      <c r="L2772" s="357">
        <v>12.999489926039274</v>
      </c>
      <c r="M2772" s="357">
        <v>13.05</v>
      </c>
      <c r="N2772" s="357">
        <v>7.5135135135135132</v>
      </c>
      <c r="O2772" s="357" t="s">
        <v>135</v>
      </c>
      <c r="P2772" s="373"/>
      <c r="Q2772" s="373"/>
      <c r="R2772" s="373">
        <v>2</v>
      </c>
    </row>
    <row r="2773" spans="1:18" ht="24">
      <c r="A2773" s="369">
        <v>67.900000000000006</v>
      </c>
      <c r="B2773" s="364" t="s">
        <v>4946</v>
      </c>
      <c r="C2773" s="370" t="s">
        <v>4947</v>
      </c>
      <c r="D2773" s="371">
        <v>57.73</v>
      </c>
      <c r="E2773" s="371">
        <v>57</v>
      </c>
      <c r="F2773" s="371">
        <v>0.73</v>
      </c>
      <c r="G2773" s="371"/>
      <c r="H2773" s="372">
        <v>749.4</v>
      </c>
      <c r="I2773" s="372">
        <v>743.84</v>
      </c>
      <c r="J2773" s="372">
        <v>5.56</v>
      </c>
      <c r="K2773" s="372"/>
      <c r="L2773" s="357">
        <v>12.981119002251862</v>
      </c>
      <c r="M2773" s="357">
        <v>13.05</v>
      </c>
      <c r="N2773" s="357">
        <v>7.6164383561643829</v>
      </c>
      <c r="O2773" s="357" t="s">
        <v>135</v>
      </c>
      <c r="P2773" s="373"/>
      <c r="Q2773" s="373"/>
      <c r="R2773" s="373">
        <v>2</v>
      </c>
    </row>
    <row r="2774" spans="1:18" ht="24">
      <c r="A2774" s="369">
        <v>67.099999999999994</v>
      </c>
      <c r="B2774" s="364" t="s">
        <v>4948</v>
      </c>
      <c r="C2774" s="370" t="s">
        <v>4949</v>
      </c>
      <c r="D2774" s="371">
        <v>172.53</v>
      </c>
      <c r="E2774" s="371">
        <v>164.36</v>
      </c>
      <c r="F2774" s="371">
        <v>4.6500000000000004</v>
      </c>
      <c r="G2774" s="371">
        <v>3.52</v>
      </c>
      <c r="H2774" s="372">
        <v>2217.0500000000002</v>
      </c>
      <c r="I2774" s="372">
        <v>2144.91</v>
      </c>
      <c r="J2774" s="372">
        <v>35.369999999999997</v>
      </c>
      <c r="K2774" s="372">
        <v>36.770000000000003</v>
      </c>
      <c r="L2774" s="357">
        <v>12.850228945690606</v>
      </c>
      <c r="M2774" s="357">
        <v>13.05</v>
      </c>
      <c r="N2774" s="357">
        <v>7.6064516129032249</v>
      </c>
      <c r="O2774" s="357">
        <v>10.446022727272728</v>
      </c>
      <c r="P2774" s="373"/>
      <c r="Q2774" s="373"/>
      <c r="R2774" s="373">
        <v>2</v>
      </c>
    </row>
    <row r="2775" spans="1:18" ht="24">
      <c r="A2775" s="369">
        <v>67.11</v>
      </c>
      <c r="B2775" s="364" t="s">
        <v>4950</v>
      </c>
      <c r="C2775" s="370" t="s">
        <v>4951</v>
      </c>
      <c r="D2775" s="371">
        <v>297.22000000000003</v>
      </c>
      <c r="E2775" s="371">
        <v>286.85000000000002</v>
      </c>
      <c r="F2775" s="371">
        <v>6.85</v>
      </c>
      <c r="G2775" s="371">
        <v>3.52</v>
      </c>
      <c r="H2775" s="372">
        <v>3832.22</v>
      </c>
      <c r="I2775" s="372">
        <v>3743.4</v>
      </c>
      <c r="J2775" s="372">
        <v>52.05</v>
      </c>
      <c r="K2775" s="372">
        <v>36.770000000000003</v>
      </c>
      <c r="L2775" s="357">
        <v>12.893546867640129</v>
      </c>
      <c r="M2775" s="357">
        <v>13.05</v>
      </c>
      <c r="N2775" s="357">
        <v>7.5985401459854014</v>
      </c>
      <c r="O2775" s="357">
        <v>10.446022727272728</v>
      </c>
      <c r="P2775" s="373"/>
      <c r="Q2775" s="373"/>
      <c r="R2775" s="373">
        <v>2</v>
      </c>
    </row>
    <row r="2776" spans="1:18" ht="24">
      <c r="A2776" s="369">
        <v>67.12</v>
      </c>
      <c r="B2776" s="364" t="s">
        <v>4952</v>
      </c>
      <c r="C2776" s="370" t="s">
        <v>4953</v>
      </c>
      <c r="D2776" s="371">
        <v>372.91</v>
      </c>
      <c r="E2776" s="371">
        <v>358.88</v>
      </c>
      <c r="F2776" s="371">
        <v>10.51</v>
      </c>
      <c r="G2776" s="371">
        <v>3.52</v>
      </c>
      <c r="H2776" s="372">
        <v>4800</v>
      </c>
      <c r="I2776" s="372">
        <v>4683.3900000000003</v>
      </c>
      <c r="J2776" s="372">
        <v>79.84</v>
      </c>
      <c r="K2776" s="372">
        <v>36.770000000000003</v>
      </c>
      <c r="L2776" s="357">
        <v>12.871738489179695</v>
      </c>
      <c r="M2776" s="357">
        <v>13.05</v>
      </c>
      <c r="N2776" s="357">
        <v>7.5965746907706952</v>
      </c>
      <c r="O2776" s="357">
        <v>10.446022727272728</v>
      </c>
      <c r="P2776" s="373"/>
      <c r="Q2776" s="373"/>
      <c r="R2776" s="373">
        <v>2</v>
      </c>
    </row>
    <row r="2777" spans="1:18" ht="24">
      <c r="A2777" s="369">
        <v>67.13</v>
      </c>
      <c r="B2777" s="364" t="s">
        <v>4954</v>
      </c>
      <c r="C2777" s="370" t="s">
        <v>4955</v>
      </c>
      <c r="D2777" s="371">
        <v>305.26</v>
      </c>
      <c r="E2777" s="371">
        <v>297.08999999999997</v>
      </c>
      <c r="F2777" s="371">
        <v>4.6500000000000004</v>
      </c>
      <c r="G2777" s="371">
        <v>3.52</v>
      </c>
      <c r="H2777" s="372">
        <v>3949.28</v>
      </c>
      <c r="I2777" s="372">
        <v>3877.14</v>
      </c>
      <c r="J2777" s="372">
        <v>35.369999999999997</v>
      </c>
      <c r="K2777" s="372">
        <v>36.770000000000003</v>
      </c>
      <c r="L2777" s="357">
        <v>12.937430387210902</v>
      </c>
      <c r="M2777" s="357">
        <v>13.05</v>
      </c>
      <c r="N2777" s="357">
        <v>7.6064516129032249</v>
      </c>
      <c r="O2777" s="357">
        <v>10.446022727272728</v>
      </c>
      <c r="P2777" s="373"/>
      <c r="Q2777" s="373"/>
      <c r="R2777" s="373">
        <v>2</v>
      </c>
    </row>
    <row r="2778" spans="1:18" ht="24">
      <c r="A2778" s="369">
        <v>67.14</v>
      </c>
      <c r="B2778" s="364" t="s">
        <v>4956</v>
      </c>
      <c r="C2778" s="370" t="s">
        <v>4957</v>
      </c>
      <c r="D2778" s="371">
        <v>502.18</v>
      </c>
      <c r="E2778" s="371">
        <v>491.81</v>
      </c>
      <c r="F2778" s="371">
        <v>6.85</v>
      </c>
      <c r="G2778" s="371">
        <v>3.52</v>
      </c>
      <c r="H2778" s="372">
        <v>6506.99</v>
      </c>
      <c r="I2778" s="372">
        <v>6418.17</v>
      </c>
      <c r="J2778" s="372">
        <v>52.05</v>
      </c>
      <c r="K2778" s="372">
        <v>36.770000000000003</v>
      </c>
      <c r="L2778" s="357">
        <v>12.957485363813772</v>
      </c>
      <c r="M2778" s="357">
        <v>13.05</v>
      </c>
      <c r="N2778" s="357">
        <v>7.5985401459854014</v>
      </c>
      <c r="O2778" s="357">
        <v>10.446022727272728</v>
      </c>
      <c r="P2778" s="373"/>
      <c r="Q2778" s="373"/>
      <c r="R2778" s="373">
        <v>2</v>
      </c>
    </row>
    <row r="2779" spans="1:18" ht="24">
      <c r="A2779" s="369">
        <v>67.150000000000006</v>
      </c>
      <c r="B2779" s="364" t="s">
        <v>4958</v>
      </c>
      <c r="C2779" s="370" t="s">
        <v>4959</v>
      </c>
      <c r="D2779" s="371">
        <v>649.6</v>
      </c>
      <c r="E2779" s="371">
        <v>635.57000000000005</v>
      </c>
      <c r="F2779" s="371">
        <v>10.51</v>
      </c>
      <c r="G2779" s="371">
        <v>3.52</v>
      </c>
      <c r="H2779" s="372">
        <v>8410.94</v>
      </c>
      <c r="I2779" s="372">
        <v>8294.33</v>
      </c>
      <c r="J2779" s="372">
        <v>79.84</v>
      </c>
      <c r="K2779" s="372">
        <v>36.770000000000003</v>
      </c>
      <c r="L2779" s="357">
        <v>12.947875615763547</v>
      </c>
      <c r="M2779" s="357">
        <v>13.05</v>
      </c>
      <c r="N2779" s="357">
        <v>7.5965746907706952</v>
      </c>
      <c r="O2779" s="357">
        <v>10.446022727272728</v>
      </c>
      <c r="P2779" s="373"/>
      <c r="Q2779" s="373"/>
      <c r="R2779" s="373">
        <v>2</v>
      </c>
    </row>
    <row r="2780" spans="1:18" ht="24">
      <c r="A2780" s="369">
        <v>67.16</v>
      </c>
      <c r="B2780" s="364" t="s">
        <v>4960</v>
      </c>
      <c r="C2780" s="370" t="s">
        <v>4961</v>
      </c>
      <c r="D2780" s="371">
        <v>38.840000000000003</v>
      </c>
      <c r="E2780" s="371">
        <v>38.840000000000003</v>
      </c>
      <c r="F2780" s="371"/>
      <c r="G2780" s="371"/>
      <c r="H2780" s="372">
        <v>506.93</v>
      </c>
      <c r="I2780" s="372">
        <v>506.93</v>
      </c>
      <c r="J2780" s="372"/>
      <c r="K2780" s="372"/>
      <c r="L2780" s="357">
        <v>13.051750772399586</v>
      </c>
      <c r="M2780" s="357">
        <v>13.05</v>
      </c>
      <c r="N2780" s="357" t="s">
        <v>135</v>
      </c>
      <c r="O2780" s="357" t="s">
        <v>135</v>
      </c>
      <c r="P2780" s="373"/>
      <c r="Q2780" s="373"/>
      <c r="R2780" s="373">
        <v>2</v>
      </c>
    </row>
    <row r="2781" spans="1:18" ht="24">
      <c r="A2781" s="374">
        <v>67.17</v>
      </c>
      <c r="B2781" s="375" t="s">
        <v>4962</v>
      </c>
      <c r="C2781" s="376" t="s">
        <v>4963</v>
      </c>
      <c r="D2781" s="377">
        <v>57</v>
      </c>
      <c r="E2781" s="377">
        <v>57</v>
      </c>
      <c r="F2781" s="377"/>
      <c r="G2781" s="377"/>
      <c r="H2781" s="378">
        <v>743.84</v>
      </c>
      <c r="I2781" s="378">
        <v>743.84</v>
      </c>
      <c r="J2781" s="378"/>
      <c r="K2781" s="378"/>
      <c r="L2781" s="356">
        <v>13.04982456140351</v>
      </c>
      <c r="M2781" s="356">
        <v>13.05</v>
      </c>
      <c r="N2781" s="356" t="s">
        <v>135</v>
      </c>
      <c r="O2781" s="356" t="s">
        <v>135</v>
      </c>
      <c r="P2781" s="379"/>
      <c r="Q2781" s="379"/>
      <c r="R2781" s="379">
        <v>2</v>
      </c>
    </row>
    <row r="2782" spans="1:18" ht="12.75">
      <c r="A2782" s="428" t="s">
        <v>4964</v>
      </c>
      <c r="B2782" s="429"/>
      <c r="C2782" s="429"/>
      <c r="D2782" s="429"/>
      <c r="E2782" s="429"/>
      <c r="F2782" s="429"/>
      <c r="G2782" s="429"/>
      <c r="H2782" s="429"/>
      <c r="I2782" s="429"/>
      <c r="J2782" s="429"/>
      <c r="K2782" s="429"/>
      <c r="L2782" s="429"/>
      <c r="M2782" s="429"/>
      <c r="N2782" s="429"/>
      <c r="O2782" s="429"/>
      <c r="P2782" s="429"/>
      <c r="Q2782" s="429"/>
      <c r="R2782" s="429"/>
    </row>
    <row r="2783" spans="1:18">
      <c r="A2783" s="374">
        <v>67.180000000000007</v>
      </c>
      <c r="B2783" s="375" t="s">
        <v>4965</v>
      </c>
      <c r="C2783" s="376" t="s">
        <v>4966</v>
      </c>
      <c r="D2783" s="377">
        <v>90.21</v>
      </c>
      <c r="E2783" s="377">
        <v>89.84</v>
      </c>
      <c r="F2783" s="377">
        <v>0.37</v>
      </c>
      <c r="G2783" s="377"/>
      <c r="H2783" s="378">
        <v>1175.29</v>
      </c>
      <c r="I2783" s="378">
        <v>1172.51</v>
      </c>
      <c r="J2783" s="378">
        <v>2.78</v>
      </c>
      <c r="K2783" s="378"/>
      <c r="L2783" s="356">
        <v>13.028378228577763</v>
      </c>
      <c r="M2783" s="356">
        <v>13.05</v>
      </c>
      <c r="N2783" s="356">
        <v>7.5135135135135132</v>
      </c>
      <c r="O2783" s="356" t="s">
        <v>135</v>
      </c>
      <c r="P2783" s="379"/>
      <c r="Q2783" s="379"/>
      <c r="R2783" s="379">
        <v>3</v>
      </c>
    </row>
    <row r="2784" spans="1:18" ht="12.75">
      <c r="A2784" s="428" t="s">
        <v>4967</v>
      </c>
      <c r="B2784" s="429"/>
      <c r="C2784" s="429"/>
      <c r="D2784" s="429"/>
      <c r="E2784" s="429"/>
      <c r="F2784" s="429"/>
      <c r="G2784" s="429"/>
      <c r="H2784" s="429"/>
      <c r="I2784" s="429"/>
      <c r="J2784" s="429"/>
      <c r="K2784" s="429"/>
      <c r="L2784" s="429"/>
      <c r="M2784" s="429"/>
      <c r="N2784" s="429"/>
      <c r="O2784" s="429"/>
      <c r="P2784" s="429"/>
      <c r="Q2784" s="429"/>
      <c r="R2784" s="429"/>
    </row>
    <row r="2785" spans="1:18">
      <c r="A2785" s="369">
        <v>67.19</v>
      </c>
      <c r="B2785" s="364" t="s">
        <v>4968</v>
      </c>
      <c r="C2785" s="370" t="s">
        <v>4969</v>
      </c>
      <c r="D2785" s="371">
        <v>54.43</v>
      </c>
      <c r="E2785" s="371">
        <v>54.43</v>
      </c>
      <c r="F2785" s="371"/>
      <c r="G2785" s="371"/>
      <c r="H2785" s="372">
        <v>710.32</v>
      </c>
      <c r="I2785" s="372">
        <v>710.32</v>
      </c>
      <c r="J2785" s="372"/>
      <c r="K2785" s="372"/>
      <c r="L2785" s="357">
        <v>13.050156163880214</v>
      </c>
      <c r="M2785" s="357">
        <v>13.05</v>
      </c>
      <c r="N2785" s="357" t="s">
        <v>135</v>
      </c>
      <c r="O2785" s="357" t="s">
        <v>135</v>
      </c>
      <c r="P2785" s="373"/>
      <c r="Q2785" s="373"/>
      <c r="R2785" s="373">
        <v>4</v>
      </c>
    </row>
    <row r="2786" spans="1:18">
      <c r="A2786" s="369">
        <v>67.2</v>
      </c>
      <c r="B2786" s="364" t="s">
        <v>4970</v>
      </c>
      <c r="C2786" s="370" t="s">
        <v>4971</v>
      </c>
      <c r="D2786" s="371">
        <v>34.86</v>
      </c>
      <c r="E2786" s="371">
        <v>34.86</v>
      </c>
      <c r="F2786" s="371"/>
      <c r="G2786" s="371"/>
      <c r="H2786" s="372">
        <v>454.9</v>
      </c>
      <c r="I2786" s="372">
        <v>454.9</v>
      </c>
      <c r="J2786" s="372"/>
      <c r="K2786" s="372"/>
      <c r="L2786" s="357">
        <v>13.049340218014917</v>
      </c>
      <c r="M2786" s="357">
        <v>13.05</v>
      </c>
      <c r="N2786" s="357" t="s">
        <v>135</v>
      </c>
      <c r="O2786" s="357" t="s">
        <v>135</v>
      </c>
      <c r="P2786" s="373"/>
      <c r="Q2786" s="373"/>
      <c r="R2786" s="373">
        <v>4</v>
      </c>
    </row>
    <row r="2787" spans="1:18" ht="24">
      <c r="A2787" s="369">
        <v>67.209999999999994</v>
      </c>
      <c r="B2787" s="364" t="s">
        <v>4972</v>
      </c>
      <c r="C2787" s="370" t="s">
        <v>4973</v>
      </c>
      <c r="D2787" s="371">
        <v>60</v>
      </c>
      <c r="E2787" s="371">
        <v>58.9</v>
      </c>
      <c r="F2787" s="371">
        <v>1.1000000000000001</v>
      </c>
      <c r="G2787" s="371"/>
      <c r="H2787" s="372">
        <v>777.04</v>
      </c>
      <c r="I2787" s="372">
        <v>768.7</v>
      </c>
      <c r="J2787" s="372">
        <v>8.34</v>
      </c>
      <c r="K2787" s="372"/>
      <c r="L2787" s="357">
        <v>12.950666666666667</v>
      </c>
      <c r="M2787" s="357">
        <v>13.05</v>
      </c>
      <c r="N2787" s="357">
        <v>7.5818181818181811</v>
      </c>
      <c r="O2787" s="357" t="s">
        <v>135</v>
      </c>
      <c r="P2787" s="373"/>
      <c r="Q2787" s="373"/>
      <c r="R2787" s="373">
        <v>4</v>
      </c>
    </row>
    <row r="2788" spans="1:18">
      <c r="A2788" s="369">
        <v>67.22</v>
      </c>
      <c r="B2788" s="364" t="s">
        <v>4974</v>
      </c>
      <c r="C2788" s="370" t="s">
        <v>4975</v>
      </c>
      <c r="D2788" s="371">
        <v>101.85</v>
      </c>
      <c r="E2788" s="371">
        <v>100.75</v>
      </c>
      <c r="F2788" s="371">
        <v>1.1000000000000001</v>
      </c>
      <c r="G2788" s="371"/>
      <c r="H2788" s="372">
        <v>1323.16</v>
      </c>
      <c r="I2788" s="372">
        <v>1314.82</v>
      </c>
      <c r="J2788" s="372">
        <v>8.34</v>
      </c>
      <c r="K2788" s="372"/>
      <c r="L2788" s="357">
        <v>12.991261659302898</v>
      </c>
      <c r="M2788" s="357">
        <v>13.05</v>
      </c>
      <c r="N2788" s="357">
        <v>7.5818181818181811</v>
      </c>
      <c r="O2788" s="357" t="s">
        <v>135</v>
      </c>
      <c r="P2788" s="373"/>
      <c r="Q2788" s="373"/>
      <c r="R2788" s="373">
        <v>4</v>
      </c>
    </row>
    <row r="2789" spans="1:18" ht="24">
      <c r="A2789" s="369">
        <v>67.23</v>
      </c>
      <c r="B2789" s="364" t="s">
        <v>4976</v>
      </c>
      <c r="C2789" s="370" t="s">
        <v>4977</v>
      </c>
      <c r="D2789" s="371">
        <v>174.32</v>
      </c>
      <c r="E2789" s="371">
        <v>171.39</v>
      </c>
      <c r="F2789" s="371">
        <v>2.93</v>
      </c>
      <c r="G2789" s="371"/>
      <c r="H2789" s="372">
        <v>2258.84</v>
      </c>
      <c r="I2789" s="372">
        <v>2236.61</v>
      </c>
      <c r="J2789" s="372">
        <v>22.23</v>
      </c>
      <c r="K2789" s="372"/>
      <c r="L2789" s="357">
        <v>12.958008260670033</v>
      </c>
      <c r="M2789" s="357">
        <v>13.05</v>
      </c>
      <c r="N2789" s="357">
        <v>7.5870307167235493</v>
      </c>
      <c r="O2789" s="357" t="s">
        <v>135</v>
      </c>
      <c r="P2789" s="373"/>
      <c r="Q2789" s="373"/>
      <c r="R2789" s="373">
        <v>4</v>
      </c>
    </row>
    <row r="2790" spans="1:18">
      <c r="A2790" s="374">
        <v>67.239999999999995</v>
      </c>
      <c r="B2790" s="375" t="s">
        <v>4978</v>
      </c>
      <c r="C2790" s="376" t="s">
        <v>4979</v>
      </c>
      <c r="D2790" s="377">
        <v>264.64999999999998</v>
      </c>
      <c r="E2790" s="377">
        <v>262.08999999999997</v>
      </c>
      <c r="F2790" s="377">
        <v>2.56</v>
      </c>
      <c r="G2790" s="377"/>
      <c r="H2790" s="378">
        <v>3439.7</v>
      </c>
      <c r="I2790" s="378">
        <v>3420.25</v>
      </c>
      <c r="J2790" s="378">
        <v>19.45</v>
      </c>
      <c r="K2790" s="378"/>
      <c r="L2790" s="356">
        <v>12.997166068392216</v>
      </c>
      <c r="M2790" s="356">
        <v>13.05</v>
      </c>
      <c r="N2790" s="356">
        <v>7.59765625</v>
      </c>
      <c r="O2790" s="356" t="s">
        <v>135</v>
      </c>
      <c r="P2790" s="379"/>
      <c r="Q2790" s="379"/>
      <c r="R2790" s="379">
        <v>4</v>
      </c>
    </row>
    <row r="2791" spans="1:18" ht="12.75">
      <c r="A2791" s="428" t="s">
        <v>4980</v>
      </c>
      <c r="B2791" s="429"/>
      <c r="C2791" s="429"/>
      <c r="D2791" s="429"/>
      <c r="E2791" s="429"/>
      <c r="F2791" s="429"/>
      <c r="G2791" s="429"/>
      <c r="H2791" s="429"/>
      <c r="I2791" s="429"/>
      <c r="J2791" s="429"/>
      <c r="K2791" s="429"/>
      <c r="L2791" s="429"/>
      <c r="M2791" s="429"/>
      <c r="N2791" s="429"/>
      <c r="O2791" s="429"/>
      <c r="P2791" s="429"/>
      <c r="Q2791" s="429"/>
      <c r="R2791" s="429"/>
    </row>
    <row r="2792" spans="1:18">
      <c r="A2792" s="369">
        <v>67.25</v>
      </c>
      <c r="B2792" s="364" t="s">
        <v>4981</v>
      </c>
      <c r="C2792" s="370" t="s">
        <v>4982</v>
      </c>
      <c r="D2792" s="371">
        <v>285.25</v>
      </c>
      <c r="E2792" s="371">
        <v>72.349999999999994</v>
      </c>
      <c r="F2792" s="371"/>
      <c r="G2792" s="371">
        <v>212.9</v>
      </c>
      <c r="H2792" s="372">
        <v>1821.06</v>
      </c>
      <c r="I2792" s="372">
        <v>944.16</v>
      </c>
      <c r="J2792" s="372"/>
      <c r="K2792" s="372">
        <v>876.9</v>
      </c>
      <c r="L2792" s="357">
        <v>6.3840841367221737</v>
      </c>
      <c r="M2792" s="357">
        <v>13.05</v>
      </c>
      <c r="N2792" s="357" t="s">
        <v>135</v>
      </c>
      <c r="O2792" s="357">
        <v>4.1188351338656641</v>
      </c>
      <c r="P2792" s="373"/>
      <c r="Q2792" s="373"/>
      <c r="R2792" s="373">
        <v>5</v>
      </c>
    </row>
    <row r="2793" spans="1:18">
      <c r="A2793" s="374">
        <v>67.260000000000005</v>
      </c>
      <c r="B2793" s="375" t="s">
        <v>4983</v>
      </c>
      <c r="C2793" s="376" t="s">
        <v>4984</v>
      </c>
      <c r="D2793" s="377">
        <v>840.44</v>
      </c>
      <c r="E2793" s="377">
        <v>141.63999999999999</v>
      </c>
      <c r="F2793" s="377"/>
      <c r="G2793" s="377">
        <v>698.8</v>
      </c>
      <c r="H2793" s="378">
        <v>3662.72</v>
      </c>
      <c r="I2793" s="378">
        <v>1848.42</v>
      </c>
      <c r="J2793" s="378"/>
      <c r="K2793" s="378">
        <v>1814.3</v>
      </c>
      <c r="L2793" s="356">
        <v>4.3580981390700106</v>
      </c>
      <c r="M2793" s="356">
        <v>13.05</v>
      </c>
      <c r="N2793" s="356" t="s">
        <v>135</v>
      </c>
      <c r="O2793" s="356">
        <v>2.5963079564968519</v>
      </c>
      <c r="P2793" s="379"/>
      <c r="Q2793" s="379"/>
      <c r="R2793" s="379">
        <v>5</v>
      </c>
    </row>
    <row r="2794" spans="1:18" ht="12.75">
      <c r="A2794" s="428" t="s">
        <v>4985</v>
      </c>
      <c r="B2794" s="429"/>
      <c r="C2794" s="429"/>
      <c r="D2794" s="429"/>
      <c r="E2794" s="429"/>
      <c r="F2794" s="429"/>
      <c r="G2794" s="429"/>
      <c r="H2794" s="429"/>
      <c r="I2794" s="429"/>
      <c r="J2794" s="429"/>
      <c r="K2794" s="429"/>
      <c r="L2794" s="429"/>
      <c r="M2794" s="429"/>
      <c r="N2794" s="429"/>
      <c r="O2794" s="429"/>
      <c r="P2794" s="429"/>
      <c r="Q2794" s="429"/>
      <c r="R2794" s="429"/>
    </row>
    <row r="2795" spans="1:18">
      <c r="A2795" s="374">
        <v>67.27</v>
      </c>
      <c r="B2795" s="375" t="s">
        <v>4986</v>
      </c>
      <c r="C2795" s="376" t="s">
        <v>4987</v>
      </c>
      <c r="D2795" s="377">
        <v>36151.65</v>
      </c>
      <c r="E2795" s="377">
        <v>3328.65</v>
      </c>
      <c r="F2795" s="377"/>
      <c r="G2795" s="377">
        <v>32823</v>
      </c>
      <c r="H2795" s="378">
        <v>183817.62</v>
      </c>
      <c r="I2795" s="378">
        <v>43437.62</v>
      </c>
      <c r="J2795" s="378"/>
      <c r="K2795" s="378">
        <v>140380</v>
      </c>
      <c r="L2795" s="356">
        <v>5.0846260129205714</v>
      </c>
      <c r="M2795" s="356">
        <v>13.05</v>
      </c>
      <c r="N2795" s="356" t="s">
        <v>135</v>
      </c>
      <c r="O2795" s="356">
        <v>4.2768790177619351</v>
      </c>
      <c r="P2795" s="379"/>
      <c r="Q2795" s="379"/>
      <c r="R2795" s="379">
        <v>6</v>
      </c>
    </row>
    <row r="2796" spans="1:18" ht="12.75">
      <c r="A2796" s="428" t="s">
        <v>4988</v>
      </c>
      <c r="B2796" s="429"/>
      <c r="C2796" s="429"/>
      <c r="D2796" s="429"/>
      <c r="E2796" s="429"/>
      <c r="F2796" s="429"/>
      <c r="G2796" s="429"/>
      <c r="H2796" s="429"/>
      <c r="I2796" s="429"/>
      <c r="J2796" s="429"/>
      <c r="K2796" s="429"/>
      <c r="L2796" s="429"/>
      <c r="M2796" s="429"/>
      <c r="N2796" s="429"/>
      <c r="O2796" s="429"/>
      <c r="P2796" s="429"/>
      <c r="Q2796" s="429"/>
      <c r="R2796" s="429"/>
    </row>
    <row r="2797" spans="1:18">
      <c r="A2797" s="374">
        <v>67.28</v>
      </c>
      <c r="B2797" s="375" t="s">
        <v>4989</v>
      </c>
      <c r="C2797" s="376" t="s">
        <v>4990</v>
      </c>
      <c r="D2797" s="377">
        <v>4011.32</v>
      </c>
      <c r="E2797" s="377">
        <v>933.32</v>
      </c>
      <c r="F2797" s="377"/>
      <c r="G2797" s="377">
        <v>3078</v>
      </c>
      <c r="H2797" s="378">
        <v>28020.71</v>
      </c>
      <c r="I2797" s="378">
        <v>12179.71</v>
      </c>
      <c r="J2797" s="378"/>
      <c r="K2797" s="378">
        <v>15841</v>
      </c>
      <c r="L2797" s="356">
        <v>6.9854087931154822</v>
      </c>
      <c r="M2797" s="356">
        <v>13.05</v>
      </c>
      <c r="N2797" s="356" t="s">
        <v>135</v>
      </c>
      <c r="O2797" s="356">
        <v>5.1465237166991553</v>
      </c>
      <c r="P2797" s="379"/>
      <c r="Q2797" s="379"/>
      <c r="R2797" s="379">
        <v>7</v>
      </c>
    </row>
    <row r="2798" spans="1:18" ht="12.75">
      <c r="A2798" s="428" t="s">
        <v>4991</v>
      </c>
      <c r="B2798" s="429"/>
      <c r="C2798" s="429"/>
      <c r="D2798" s="429"/>
      <c r="E2798" s="429"/>
      <c r="F2798" s="429"/>
      <c r="G2798" s="429"/>
      <c r="H2798" s="429"/>
      <c r="I2798" s="429"/>
      <c r="J2798" s="429"/>
      <c r="K2798" s="429"/>
      <c r="L2798" s="429"/>
      <c r="M2798" s="429"/>
      <c r="N2798" s="429"/>
      <c r="O2798" s="429"/>
      <c r="P2798" s="429"/>
      <c r="Q2798" s="429"/>
      <c r="R2798" s="429"/>
    </row>
    <row r="2799" spans="1:18">
      <c r="A2799" s="369">
        <v>67.290000000000006</v>
      </c>
      <c r="B2799" s="364" t="s">
        <v>4992</v>
      </c>
      <c r="C2799" s="370" t="s">
        <v>4993</v>
      </c>
      <c r="D2799" s="371">
        <v>7816.86</v>
      </c>
      <c r="E2799" s="371">
        <v>1023.76</v>
      </c>
      <c r="F2799" s="371">
        <v>1.1000000000000001</v>
      </c>
      <c r="G2799" s="371">
        <v>6792</v>
      </c>
      <c r="H2799" s="372">
        <v>41666.99</v>
      </c>
      <c r="I2799" s="372">
        <v>13359.65</v>
      </c>
      <c r="J2799" s="372">
        <v>8.34</v>
      </c>
      <c r="K2799" s="372">
        <v>28299</v>
      </c>
      <c r="L2799" s="357">
        <v>5.3303999304068386</v>
      </c>
      <c r="M2799" s="357">
        <v>13.05</v>
      </c>
      <c r="N2799" s="357">
        <v>7.5818181818181811</v>
      </c>
      <c r="O2799" s="357">
        <v>4.1665194346289756</v>
      </c>
      <c r="P2799" s="373"/>
      <c r="Q2799" s="373"/>
      <c r="R2799" s="373">
        <v>8</v>
      </c>
    </row>
    <row r="2800" spans="1:18" ht="24">
      <c r="A2800" s="374">
        <v>67.3</v>
      </c>
      <c r="B2800" s="375" t="s">
        <v>4994</v>
      </c>
      <c r="C2800" s="376" t="s">
        <v>4995</v>
      </c>
      <c r="D2800" s="377">
        <v>25159.25</v>
      </c>
      <c r="E2800" s="377">
        <v>1876.32</v>
      </c>
      <c r="F2800" s="377">
        <v>2.93</v>
      </c>
      <c r="G2800" s="377">
        <v>23280</v>
      </c>
      <c r="H2800" s="378">
        <v>110388.43</v>
      </c>
      <c r="I2800" s="378">
        <v>24485.200000000001</v>
      </c>
      <c r="J2800" s="378">
        <v>22.23</v>
      </c>
      <c r="K2800" s="378">
        <v>85881</v>
      </c>
      <c r="L2800" s="356">
        <v>4.3875882627661795</v>
      </c>
      <c r="M2800" s="356">
        <v>13.05</v>
      </c>
      <c r="N2800" s="356">
        <v>7.5870307167235493</v>
      </c>
      <c r="O2800" s="356">
        <v>3.6890463917525773</v>
      </c>
      <c r="P2800" s="379"/>
      <c r="Q2800" s="379"/>
      <c r="R2800" s="379">
        <v>8</v>
      </c>
    </row>
    <row r="2801" spans="1:18" ht="12.75">
      <c r="A2801" s="428" t="s">
        <v>4996</v>
      </c>
      <c r="B2801" s="429"/>
      <c r="C2801" s="429"/>
      <c r="D2801" s="429"/>
      <c r="E2801" s="429"/>
      <c r="F2801" s="429"/>
      <c r="G2801" s="429"/>
      <c r="H2801" s="429"/>
      <c r="I2801" s="429"/>
      <c r="J2801" s="429"/>
      <c r="K2801" s="429"/>
      <c r="L2801" s="429"/>
      <c r="M2801" s="429"/>
      <c r="N2801" s="429"/>
      <c r="O2801" s="429"/>
      <c r="P2801" s="429"/>
      <c r="Q2801" s="429"/>
      <c r="R2801" s="429"/>
    </row>
    <row r="2802" spans="1:18">
      <c r="A2802" s="369">
        <v>67.31</v>
      </c>
      <c r="B2802" s="364" t="s">
        <v>4997</v>
      </c>
      <c r="C2802" s="370" t="s">
        <v>4998</v>
      </c>
      <c r="D2802" s="371">
        <v>967.24</v>
      </c>
      <c r="E2802" s="371">
        <v>261.24</v>
      </c>
      <c r="F2802" s="371"/>
      <c r="G2802" s="371">
        <v>706</v>
      </c>
      <c r="H2802" s="372">
        <v>9151.19</v>
      </c>
      <c r="I2802" s="372">
        <v>3409.19</v>
      </c>
      <c r="J2802" s="372"/>
      <c r="K2802" s="372">
        <v>5742</v>
      </c>
      <c r="L2802" s="357">
        <v>9.4611368429758897</v>
      </c>
      <c r="M2802" s="357">
        <v>13.05</v>
      </c>
      <c r="N2802" s="357" t="s">
        <v>135</v>
      </c>
      <c r="O2802" s="357">
        <v>8.1331444759206803</v>
      </c>
      <c r="P2802" s="373"/>
      <c r="Q2802" s="373"/>
      <c r="R2802" s="373">
        <v>9</v>
      </c>
    </row>
    <row r="2803" spans="1:18">
      <c r="A2803" s="374">
        <v>67.319999999999993</v>
      </c>
      <c r="B2803" s="375" t="s">
        <v>4999</v>
      </c>
      <c r="C2803" s="376" t="s">
        <v>5000</v>
      </c>
      <c r="D2803" s="377">
        <v>897.24</v>
      </c>
      <c r="E2803" s="377">
        <v>261.24</v>
      </c>
      <c r="F2803" s="377"/>
      <c r="G2803" s="377">
        <v>636</v>
      </c>
      <c r="H2803" s="378">
        <v>5589.19</v>
      </c>
      <c r="I2803" s="378">
        <v>3409.19</v>
      </c>
      <c r="J2803" s="378"/>
      <c r="K2803" s="378">
        <v>2180</v>
      </c>
      <c r="L2803" s="356">
        <v>6.2293143417591716</v>
      </c>
      <c r="M2803" s="356">
        <v>13.05</v>
      </c>
      <c r="N2803" s="356" t="s">
        <v>135</v>
      </c>
      <c r="O2803" s="356">
        <v>3.4276729559748427</v>
      </c>
      <c r="P2803" s="379"/>
      <c r="Q2803" s="379"/>
      <c r="R2803" s="379">
        <v>9</v>
      </c>
    </row>
    <row r="2804" spans="1:18" ht="12.75">
      <c r="A2804" s="428" t="s">
        <v>5001</v>
      </c>
      <c r="B2804" s="429"/>
      <c r="C2804" s="429"/>
      <c r="D2804" s="429"/>
      <c r="E2804" s="429"/>
      <c r="F2804" s="429"/>
      <c r="G2804" s="429"/>
      <c r="H2804" s="429"/>
      <c r="I2804" s="429"/>
      <c r="J2804" s="429"/>
      <c r="K2804" s="429"/>
      <c r="L2804" s="429"/>
      <c r="M2804" s="429"/>
      <c r="N2804" s="429"/>
      <c r="O2804" s="429"/>
      <c r="P2804" s="429"/>
      <c r="Q2804" s="429"/>
      <c r="R2804" s="429"/>
    </row>
    <row r="2805" spans="1:18">
      <c r="A2805" s="374">
        <v>67.33</v>
      </c>
      <c r="B2805" s="375" t="s">
        <v>5002</v>
      </c>
      <c r="C2805" s="376" t="s">
        <v>5003</v>
      </c>
      <c r="D2805" s="377">
        <v>30960.639999999999</v>
      </c>
      <c r="E2805" s="377">
        <v>1003.08</v>
      </c>
      <c r="F2805" s="377">
        <v>2.56</v>
      </c>
      <c r="G2805" s="377">
        <v>29955</v>
      </c>
      <c r="H2805" s="378">
        <v>95929.21</v>
      </c>
      <c r="I2805" s="378">
        <v>13089.76</v>
      </c>
      <c r="J2805" s="378">
        <v>19.45</v>
      </c>
      <c r="K2805" s="378">
        <v>82820</v>
      </c>
      <c r="L2805" s="356">
        <v>3.0984246449685799</v>
      </c>
      <c r="M2805" s="356">
        <v>13.05</v>
      </c>
      <c r="N2805" s="356">
        <v>7.59765625</v>
      </c>
      <c r="O2805" s="356">
        <v>2.7648138874979136</v>
      </c>
      <c r="P2805" s="379"/>
      <c r="Q2805" s="379"/>
      <c r="R2805" s="379">
        <v>10</v>
      </c>
    </row>
    <row r="2806" spans="1:18" ht="12.75">
      <c r="A2806" s="428" t="s">
        <v>5004</v>
      </c>
      <c r="B2806" s="429"/>
      <c r="C2806" s="429"/>
      <c r="D2806" s="429"/>
      <c r="E2806" s="429"/>
      <c r="F2806" s="429"/>
      <c r="G2806" s="429"/>
      <c r="H2806" s="429"/>
      <c r="I2806" s="429"/>
      <c r="J2806" s="429"/>
      <c r="K2806" s="429"/>
      <c r="L2806" s="429"/>
      <c r="M2806" s="429"/>
      <c r="N2806" s="429"/>
      <c r="O2806" s="429"/>
      <c r="P2806" s="429"/>
      <c r="Q2806" s="429"/>
      <c r="R2806" s="429"/>
    </row>
    <row r="2807" spans="1:18">
      <c r="A2807" s="374">
        <v>67.34</v>
      </c>
      <c r="B2807" s="375" t="s">
        <v>5005</v>
      </c>
      <c r="C2807" s="376" t="s">
        <v>5006</v>
      </c>
      <c r="D2807" s="377">
        <v>965.07</v>
      </c>
      <c r="E2807" s="377">
        <v>369.07</v>
      </c>
      <c r="F2807" s="377"/>
      <c r="G2807" s="377">
        <v>596</v>
      </c>
      <c r="H2807" s="378">
        <v>7150.55</v>
      </c>
      <c r="I2807" s="378">
        <v>4816.55</v>
      </c>
      <c r="J2807" s="378"/>
      <c r="K2807" s="378">
        <v>2334</v>
      </c>
      <c r="L2807" s="356">
        <v>7.4093589066078103</v>
      </c>
      <c r="M2807" s="356">
        <v>13.05</v>
      </c>
      <c r="N2807" s="356" t="s">
        <v>135</v>
      </c>
      <c r="O2807" s="356">
        <v>3.9161073825503356</v>
      </c>
      <c r="P2807" s="379"/>
      <c r="Q2807" s="379"/>
      <c r="R2807" s="379">
        <v>11</v>
      </c>
    </row>
    <row r="2808" spans="1:18" ht="12.75">
      <c r="A2808" s="428" t="s">
        <v>5007</v>
      </c>
      <c r="B2808" s="429"/>
      <c r="C2808" s="429"/>
      <c r="D2808" s="429"/>
      <c r="E2808" s="429"/>
      <c r="F2808" s="429"/>
      <c r="G2808" s="429"/>
      <c r="H2808" s="429"/>
      <c r="I2808" s="429"/>
      <c r="J2808" s="429"/>
      <c r="K2808" s="429"/>
      <c r="L2808" s="429"/>
      <c r="M2808" s="429"/>
      <c r="N2808" s="429"/>
      <c r="O2808" s="429"/>
      <c r="P2808" s="429"/>
      <c r="Q2808" s="429"/>
      <c r="R2808" s="429"/>
    </row>
    <row r="2809" spans="1:18">
      <c r="A2809" s="374">
        <v>67.349999999999994</v>
      </c>
      <c r="B2809" s="375" t="s">
        <v>5008</v>
      </c>
      <c r="C2809" s="376" t="s">
        <v>5009</v>
      </c>
      <c r="D2809" s="377">
        <v>1046.74</v>
      </c>
      <c r="E2809" s="377">
        <v>1046.74</v>
      </c>
      <c r="F2809" s="377"/>
      <c r="G2809" s="377"/>
      <c r="H2809" s="378">
        <v>13659.53</v>
      </c>
      <c r="I2809" s="378">
        <v>13659.53</v>
      </c>
      <c r="J2809" s="378"/>
      <c r="K2809" s="378"/>
      <c r="L2809" s="356">
        <v>13.049592066797867</v>
      </c>
      <c r="M2809" s="356">
        <v>13.05</v>
      </c>
      <c r="N2809" s="356" t="s">
        <v>135</v>
      </c>
      <c r="O2809" s="356" t="s">
        <v>135</v>
      </c>
      <c r="P2809" s="379"/>
      <c r="Q2809" s="379"/>
      <c r="R2809" s="379">
        <v>12</v>
      </c>
    </row>
    <row r="2810" spans="1:18" ht="12.75">
      <c r="A2810" s="428" t="s">
        <v>5010</v>
      </c>
      <c r="B2810" s="429"/>
      <c r="C2810" s="429"/>
      <c r="D2810" s="429"/>
      <c r="E2810" s="429"/>
      <c r="F2810" s="429"/>
      <c r="G2810" s="429"/>
      <c r="H2810" s="429"/>
      <c r="I2810" s="429"/>
      <c r="J2810" s="429"/>
      <c r="K2810" s="429"/>
      <c r="L2810" s="429"/>
      <c r="M2810" s="429"/>
      <c r="N2810" s="429"/>
      <c r="O2810" s="429"/>
      <c r="P2810" s="429"/>
      <c r="Q2810" s="429"/>
      <c r="R2810" s="429"/>
    </row>
    <row r="2811" spans="1:18" ht="24">
      <c r="A2811" s="374">
        <v>67.36</v>
      </c>
      <c r="B2811" s="375" t="s">
        <v>5011</v>
      </c>
      <c r="C2811" s="376" t="s">
        <v>5012</v>
      </c>
      <c r="D2811" s="377">
        <v>1386.84</v>
      </c>
      <c r="E2811" s="377">
        <v>1386.84</v>
      </c>
      <c r="F2811" s="377"/>
      <c r="G2811" s="377"/>
      <c r="H2811" s="378">
        <v>18097.759999999998</v>
      </c>
      <c r="I2811" s="378">
        <v>18097.759999999998</v>
      </c>
      <c r="J2811" s="378"/>
      <c r="K2811" s="378"/>
      <c r="L2811" s="356">
        <v>13.049638026015979</v>
      </c>
      <c r="M2811" s="356">
        <v>13.05</v>
      </c>
      <c r="N2811" s="356" t="s">
        <v>135</v>
      </c>
      <c r="O2811" s="356" t="s">
        <v>135</v>
      </c>
      <c r="P2811" s="379"/>
      <c r="Q2811" s="379"/>
      <c r="R2811" s="379">
        <v>13</v>
      </c>
    </row>
    <row r="2812" spans="1:18" ht="12.75">
      <c r="A2812" s="428" t="s">
        <v>5013</v>
      </c>
      <c r="B2812" s="429"/>
      <c r="C2812" s="429"/>
      <c r="D2812" s="429"/>
      <c r="E2812" s="429"/>
      <c r="F2812" s="429"/>
      <c r="G2812" s="429"/>
      <c r="H2812" s="429"/>
      <c r="I2812" s="429"/>
      <c r="J2812" s="429"/>
      <c r="K2812" s="429"/>
      <c r="L2812" s="429"/>
      <c r="M2812" s="429"/>
      <c r="N2812" s="429"/>
      <c r="O2812" s="429"/>
      <c r="P2812" s="429"/>
      <c r="Q2812" s="429"/>
      <c r="R2812" s="429"/>
    </row>
    <row r="2813" spans="1:18" ht="24">
      <c r="A2813" s="374">
        <v>67.37</v>
      </c>
      <c r="B2813" s="375" t="s">
        <v>5014</v>
      </c>
      <c r="C2813" s="376" t="s">
        <v>5015</v>
      </c>
      <c r="D2813" s="377">
        <v>5550.82</v>
      </c>
      <c r="E2813" s="377">
        <v>5550.82</v>
      </c>
      <c r="F2813" s="377"/>
      <c r="G2813" s="377"/>
      <c r="H2813" s="378">
        <v>72436.009999999995</v>
      </c>
      <c r="I2813" s="378">
        <v>72436.009999999995</v>
      </c>
      <c r="J2813" s="378"/>
      <c r="K2813" s="378"/>
      <c r="L2813" s="356">
        <v>13.049605283543693</v>
      </c>
      <c r="M2813" s="356">
        <v>13.05</v>
      </c>
      <c r="N2813" s="356" t="s">
        <v>135</v>
      </c>
      <c r="O2813" s="356" t="s">
        <v>135</v>
      </c>
      <c r="P2813" s="379"/>
      <c r="Q2813" s="379"/>
      <c r="R2813" s="379">
        <v>14</v>
      </c>
    </row>
    <row r="2814" spans="1:18" ht="12.75">
      <c r="A2814" s="428" t="s">
        <v>5016</v>
      </c>
      <c r="B2814" s="429"/>
      <c r="C2814" s="429"/>
      <c r="D2814" s="429"/>
      <c r="E2814" s="429"/>
      <c r="F2814" s="429"/>
      <c r="G2814" s="429"/>
      <c r="H2814" s="429"/>
      <c r="I2814" s="429"/>
      <c r="J2814" s="429"/>
      <c r="K2814" s="429"/>
      <c r="L2814" s="429"/>
      <c r="M2814" s="429"/>
      <c r="N2814" s="429"/>
      <c r="O2814" s="429"/>
      <c r="P2814" s="429"/>
      <c r="Q2814" s="429"/>
      <c r="R2814" s="429"/>
    </row>
    <row r="2815" spans="1:18">
      <c r="A2815" s="369">
        <v>67.38</v>
      </c>
      <c r="B2815" s="364" t="s">
        <v>5017</v>
      </c>
      <c r="C2815" s="370" t="s">
        <v>5018</v>
      </c>
      <c r="D2815" s="371">
        <v>6395.33</v>
      </c>
      <c r="E2815" s="371">
        <v>6395.33</v>
      </c>
      <c r="F2815" s="371"/>
      <c r="G2815" s="371"/>
      <c r="H2815" s="372">
        <v>83456.600000000006</v>
      </c>
      <c r="I2815" s="372">
        <v>83456.600000000006</v>
      </c>
      <c r="J2815" s="372"/>
      <c r="K2815" s="372"/>
      <c r="L2815" s="357">
        <v>13.0496158915959</v>
      </c>
      <c r="M2815" s="357">
        <v>13.05</v>
      </c>
      <c r="N2815" s="357" t="s">
        <v>135</v>
      </c>
      <c r="O2815" s="357" t="s">
        <v>135</v>
      </c>
      <c r="P2815" s="373"/>
      <c r="Q2815" s="373"/>
      <c r="R2815" s="373">
        <v>15</v>
      </c>
    </row>
    <row r="2816" spans="1:18" ht="12.75">
      <c r="A2816" s="363"/>
      <c r="B2816" s="366"/>
      <c r="C2816" s="365"/>
      <c r="D2816" s="367"/>
      <c r="E2816" s="367"/>
      <c r="F2816" s="367"/>
      <c r="G2816" s="367"/>
      <c r="H2816" s="368"/>
      <c r="I2816" s="368"/>
      <c r="J2816" s="368"/>
      <c r="K2816" s="368"/>
      <c r="L2816" s="355"/>
      <c r="M2816" s="355"/>
      <c r="N2816" s="355"/>
      <c r="O2816" s="354"/>
      <c r="P2816" s="362"/>
      <c r="Q2816" s="362"/>
      <c r="R2816" s="362"/>
    </row>
    <row r="2817" spans="1:18">
      <c r="O2817" s="352"/>
    </row>
    <row r="2818" spans="1:18" ht="23.25">
      <c r="A2818" s="61"/>
      <c r="B2818" s="60"/>
      <c r="C2818" s="59" t="s">
        <v>5019</v>
      </c>
      <c r="D2818" s="45"/>
      <c r="E2818" s="45"/>
      <c r="F2818" s="45"/>
      <c r="G2818" s="45"/>
      <c r="H2818" s="58"/>
      <c r="I2818" s="58"/>
      <c r="J2818" s="58"/>
      <c r="K2818" s="58"/>
      <c r="L2818" s="351"/>
      <c r="M2818" s="351"/>
      <c r="N2818" s="351"/>
      <c r="O2818" s="350"/>
    </row>
    <row r="2819" spans="1:18" ht="12.75">
      <c r="A2819" s="428" t="s">
        <v>5020</v>
      </c>
      <c r="B2819" s="429"/>
      <c r="C2819" s="429"/>
      <c r="D2819" s="429"/>
      <c r="E2819" s="429"/>
      <c r="F2819" s="429"/>
      <c r="G2819" s="429"/>
      <c r="H2819" s="429"/>
      <c r="I2819" s="429"/>
      <c r="J2819" s="429"/>
      <c r="K2819" s="429"/>
      <c r="L2819" s="429"/>
      <c r="M2819" s="429"/>
      <c r="N2819" s="429"/>
      <c r="O2819" s="429"/>
      <c r="P2819" s="429"/>
      <c r="Q2819" s="429"/>
      <c r="R2819" s="429"/>
    </row>
    <row r="2820" spans="1:18" ht="24">
      <c r="A2820" s="388">
        <v>68.099999999999994</v>
      </c>
      <c r="B2820" s="383" t="s">
        <v>5021</v>
      </c>
      <c r="C2820" s="389" t="s">
        <v>5022</v>
      </c>
      <c r="D2820" s="390">
        <v>200.94</v>
      </c>
      <c r="E2820" s="390">
        <v>34.229999999999997</v>
      </c>
      <c r="F2820" s="390">
        <v>3.15</v>
      </c>
      <c r="G2820" s="390">
        <v>163.56</v>
      </c>
      <c r="H2820" s="391">
        <v>909.24</v>
      </c>
      <c r="I2820" s="391">
        <v>446.63</v>
      </c>
      <c r="J2820" s="391">
        <v>15.92</v>
      </c>
      <c r="K2820" s="391">
        <v>446.69</v>
      </c>
      <c r="L2820" s="357">
        <v>4.5249328157659008</v>
      </c>
      <c r="M2820" s="357">
        <v>13.05</v>
      </c>
      <c r="N2820" s="357">
        <v>5.0539682539682538</v>
      </c>
      <c r="O2820" s="357">
        <v>2.7310467106872096</v>
      </c>
      <c r="P2820" s="392"/>
      <c r="Q2820" s="392"/>
      <c r="R2820" s="392">
        <v>1</v>
      </c>
    </row>
    <row r="2821" spans="1:18" ht="24">
      <c r="A2821" s="388">
        <v>68.2</v>
      </c>
      <c r="B2821" s="383" t="s">
        <v>5023</v>
      </c>
      <c r="C2821" s="389" t="s">
        <v>5024</v>
      </c>
      <c r="D2821" s="390">
        <v>212.96</v>
      </c>
      <c r="E2821" s="390">
        <v>46.25</v>
      </c>
      <c r="F2821" s="390">
        <v>3.15</v>
      </c>
      <c r="G2821" s="390">
        <v>163.56</v>
      </c>
      <c r="H2821" s="391">
        <v>1066.1600000000001</v>
      </c>
      <c r="I2821" s="391">
        <v>603.54999999999995</v>
      </c>
      <c r="J2821" s="391">
        <v>15.92</v>
      </c>
      <c r="K2821" s="391">
        <v>446.69</v>
      </c>
      <c r="L2821" s="357">
        <v>5.0063861758076635</v>
      </c>
      <c r="M2821" s="357">
        <v>13.05</v>
      </c>
      <c r="N2821" s="357">
        <v>5.0539682539682538</v>
      </c>
      <c r="O2821" s="357">
        <v>2.7310467106872096</v>
      </c>
      <c r="P2821" s="392"/>
      <c r="Q2821" s="392"/>
      <c r="R2821" s="392">
        <v>1</v>
      </c>
    </row>
    <row r="2822" spans="1:18" ht="24">
      <c r="A2822" s="388">
        <v>68.3</v>
      </c>
      <c r="B2822" s="383" t="s">
        <v>5025</v>
      </c>
      <c r="C2822" s="389" t="s">
        <v>5026</v>
      </c>
      <c r="D2822" s="390">
        <v>359.06</v>
      </c>
      <c r="E2822" s="390">
        <v>66.599999999999994</v>
      </c>
      <c r="F2822" s="390">
        <v>8.39</v>
      </c>
      <c r="G2822" s="390">
        <v>284.07</v>
      </c>
      <c r="H2822" s="391">
        <v>1687.38</v>
      </c>
      <c r="I2822" s="391">
        <v>869.11</v>
      </c>
      <c r="J2822" s="391">
        <v>42.45</v>
      </c>
      <c r="K2822" s="391">
        <v>775.82</v>
      </c>
      <c r="L2822" s="357">
        <v>4.6994374199298168</v>
      </c>
      <c r="M2822" s="357">
        <v>13.05</v>
      </c>
      <c r="N2822" s="357">
        <v>5.059594755661502</v>
      </c>
      <c r="O2822" s="357">
        <v>2.7310874080332317</v>
      </c>
      <c r="P2822" s="392"/>
      <c r="Q2822" s="392"/>
      <c r="R2822" s="392">
        <v>1</v>
      </c>
    </row>
    <row r="2823" spans="1:18" ht="24">
      <c r="A2823" s="393">
        <v>68.400000000000006</v>
      </c>
      <c r="B2823" s="394" t="s">
        <v>5027</v>
      </c>
      <c r="C2823" s="395" t="s">
        <v>5028</v>
      </c>
      <c r="D2823" s="396">
        <v>378.49</v>
      </c>
      <c r="E2823" s="396">
        <v>86.03</v>
      </c>
      <c r="F2823" s="396">
        <v>8.39</v>
      </c>
      <c r="G2823" s="396">
        <v>284.07</v>
      </c>
      <c r="H2823" s="397">
        <v>1940.87</v>
      </c>
      <c r="I2823" s="397">
        <v>1122.5999999999999</v>
      </c>
      <c r="J2823" s="397">
        <v>42.45</v>
      </c>
      <c r="K2823" s="397">
        <v>775.82</v>
      </c>
      <c r="L2823" s="356">
        <v>5.1279294036830558</v>
      </c>
      <c r="M2823" s="356">
        <v>13.05</v>
      </c>
      <c r="N2823" s="356">
        <v>5.059594755661502</v>
      </c>
      <c r="O2823" s="356">
        <v>2.7310874080332317</v>
      </c>
      <c r="P2823" s="398"/>
      <c r="Q2823" s="398"/>
      <c r="R2823" s="398">
        <v>1</v>
      </c>
    </row>
    <row r="2824" spans="1:18" ht="12.75">
      <c r="A2824" s="428" t="s">
        <v>5029</v>
      </c>
      <c r="B2824" s="429"/>
      <c r="C2824" s="429"/>
      <c r="D2824" s="429"/>
      <c r="E2824" s="429"/>
      <c r="F2824" s="429"/>
      <c r="G2824" s="429"/>
      <c r="H2824" s="429"/>
      <c r="I2824" s="429"/>
      <c r="J2824" s="429"/>
      <c r="K2824" s="429"/>
      <c r="L2824" s="429"/>
      <c r="M2824" s="429"/>
      <c r="N2824" s="429"/>
      <c r="O2824" s="429"/>
      <c r="P2824" s="429"/>
      <c r="Q2824" s="429"/>
      <c r="R2824" s="429"/>
    </row>
    <row r="2825" spans="1:18">
      <c r="A2825" s="388">
        <v>68.5</v>
      </c>
      <c r="B2825" s="383" t="s">
        <v>5030</v>
      </c>
      <c r="C2825" s="389" t="s">
        <v>5031</v>
      </c>
      <c r="D2825" s="390">
        <v>9.9</v>
      </c>
      <c r="E2825" s="390">
        <v>9.9</v>
      </c>
      <c r="F2825" s="390"/>
      <c r="G2825" s="390"/>
      <c r="H2825" s="391">
        <v>129.16999999999999</v>
      </c>
      <c r="I2825" s="391">
        <v>129.16999999999999</v>
      </c>
      <c r="J2825" s="391"/>
      <c r="K2825" s="391"/>
      <c r="L2825" s="357">
        <v>13.047474747474746</v>
      </c>
      <c r="M2825" s="357">
        <v>13.05</v>
      </c>
      <c r="N2825" s="357" t="s">
        <v>135</v>
      </c>
      <c r="O2825" s="357" t="s">
        <v>135</v>
      </c>
      <c r="P2825" s="392"/>
      <c r="Q2825" s="392"/>
      <c r="R2825" s="392">
        <v>2</v>
      </c>
    </row>
    <row r="2826" spans="1:18" ht="24">
      <c r="A2826" s="393">
        <v>68.599999999999994</v>
      </c>
      <c r="B2826" s="394" t="s">
        <v>5032</v>
      </c>
      <c r="C2826" s="395" t="s">
        <v>5033</v>
      </c>
      <c r="D2826" s="396">
        <v>1048</v>
      </c>
      <c r="E2826" s="396">
        <v>20.91</v>
      </c>
      <c r="F2826" s="396">
        <v>1027.0899999999999</v>
      </c>
      <c r="G2826" s="396"/>
      <c r="H2826" s="397">
        <v>4752.1400000000003</v>
      </c>
      <c r="I2826" s="397">
        <v>272.85000000000002</v>
      </c>
      <c r="J2826" s="397">
        <v>4479.29</v>
      </c>
      <c r="K2826" s="397"/>
      <c r="L2826" s="356">
        <v>4.5344847328244278</v>
      </c>
      <c r="M2826" s="356">
        <v>13.05</v>
      </c>
      <c r="N2826" s="356">
        <v>4.3611465402252971</v>
      </c>
      <c r="O2826" s="356" t="s">
        <v>135</v>
      </c>
      <c r="P2826" s="398"/>
      <c r="Q2826" s="398"/>
      <c r="R2826" s="398">
        <v>2</v>
      </c>
    </row>
    <row r="2827" spans="1:18" ht="12.75">
      <c r="A2827" s="428" t="s">
        <v>5034</v>
      </c>
      <c r="B2827" s="429"/>
      <c r="C2827" s="429"/>
      <c r="D2827" s="429"/>
      <c r="E2827" s="429"/>
      <c r="F2827" s="429"/>
      <c r="G2827" s="429"/>
      <c r="H2827" s="429"/>
      <c r="I2827" s="429"/>
      <c r="J2827" s="429"/>
      <c r="K2827" s="429"/>
      <c r="L2827" s="429"/>
      <c r="M2827" s="429"/>
      <c r="N2827" s="429"/>
      <c r="O2827" s="429"/>
      <c r="P2827" s="429"/>
      <c r="Q2827" s="429"/>
      <c r="R2827" s="429"/>
    </row>
    <row r="2828" spans="1:18" ht="24">
      <c r="A2828" s="388">
        <v>68.7</v>
      </c>
      <c r="B2828" s="383" t="s">
        <v>5035</v>
      </c>
      <c r="C2828" s="389" t="s">
        <v>5036</v>
      </c>
      <c r="D2828" s="390">
        <v>37.07</v>
      </c>
      <c r="E2828" s="390">
        <v>25.75</v>
      </c>
      <c r="F2828" s="390">
        <v>11.32</v>
      </c>
      <c r="G2828" s="390"/>
      <c r="H2828" s="391">
        <v>404.81</v>
      </c>
      <c r="I2828" s="391">
        <v>336.05</v>
      </c>
      <c r="J2828" s="391">
        <v>68.760000000000005</v>
      </c>
      <c r="K2828" s="391"/>
      <c r="L2828" s="357">
        <v>10.920151065551659</v>
      </c>
      <c r="M2828" s="357">
        <v>13.05</v>
      </c>
      <c r="N2828" s="357">
        <v>6.074204946996467</v>
      </c>
      <c r="O2828" s="357" t="s">
        <v>135</v>
      </c>
      <c r="P2828" s="392"/>
      <c r="Q2828" s="392"/>
      <c r="R2828" s="392">
        <v>3</v>
      </c>
    </row>
    <row r="2829" spans="1:18" ht="24">
      <c r="A2829" s="388">
        <v>68.8</v>
      </c>
      <c r="B2829" s="383" t="s">
        <v>5037</v>
      </c>
      <c r="C2829" s="389" t="s">
        <v>5038</v>
      </c>
      <c r="D2829" s="390">
        <v>64.81</v>
      </c>
      <c r="E2829" s="390">
        <v>44.99</v>
      </c>
      <c r="F2829" s="390">
        <v>19.82</v>
      </c>
      <c r="G2829" s="390"/>
      <c r="H2829" s="391">
        <v>707.52</v>
      </c>
      <c r="I2829" s="391">
        <v>587.11</v>
      </c>
      <c r="J2829" s="391">
        <v>120.41</v>
      </c>
      <c r="K2829" s="391"/>
      <c r="L2829" s="357">
        <v>10.916833821941058</v>
      </c>
      <c r="M2829" s="357">
        <v>13.05</v>
      </c>
      <c r="N2829" s="357">
        <v>6.0751765893037337</v>
      </c>
      <c r="O2829" s="357" t="s">
        <v>135</v>
      </c>
      <c r="P2829" s="392"/>
      <c r="Q2829" s="392"/>
      <c r="R2829" s="392">
        <v>3</v>
      </c>
    </row>
    <row r="2830" spans="1:18" ht="36">
      <c r="A2830" s="388">
        <v>68.900000000000006</v>
      </c>
      <c r="B2830" s="383" t="s">
        <v>5039</v>
      </c>
      <c r="C2830" s="389" t="s">
        <v>5040</v>
      </c>
      <c r="D2830" s="390">
        <v>42.9</v>
      </c>
      <c r="E2830" s="390">
        <v>29.76</v>
      </c>
      <c r="F2830" s="390">
        <v>13.14</v>
      </c>
      <c r="G2830" s="390"/>
      <c r="H2830" s="391">
        <v>468.19</v>
      </c>
      <c r="I2830" s="391">
        <v>388.36</v>
      </c>
      <c r="J2830" s="391">
        <v>79.83</v>
      </c>
      <c r="K2830" s="391"/>
      <c r="L2830" s="357">
        <v>10.913519813519814</v>
      </c>
      <c r="M2830" s="357">
        <v>13.05</v>
      </c>
      <c r="N2830" s="357">
        <v>6.0753424657534243</v>
      </c>
      <c r="O2830" s="357" t="s">
        <v>135</v>
      </c>
      <c r="P2830" s="392"/>
      <c r="Q2830" s="392"/>
      <c r="R2830" s="392">
        <v>3</v>
      </c>
    </row>
    <row r="2831" spans="1:18" ht="36">
      <c r="A2831" s="388">
        <v>68.099999999999994</v>
      </c>
      <c r="B2831" s="383" t="s">
        <v>5041</v>
      </c>
      <c r="C2831" s="389" t="s">
        <v>5042</v>
      </c>
      <c r="D2831" s="390">
        <v>88.16</v>
      </c>
      <c r="E2831" s="390">
        <v>61.22</v>
      </c>
      <c r="F2831" s="390">
        <v>26.94</v>
      </c>
      <c r="G2831" s="390"/>
      <c r="H2831" s="391">
        <v>962.62</v>
      </c>
      <c r="I2831" s="391">
        <v>798.94</v>
      </c>
      <c r="J2831" s="391">
        <v>163.68</v>
      </c>
      <c r="K2831" s="391"/>
      <c r="L2831" s="357">
        <v>10.919010889292197</v>
      </c>
      <c r="M2831" s="357">
        <v>13.05</v>
      </c>
      <c r="N2831" s="357">
        <v>6.0757238307349661</v>
      </c>
      <c r="O2831" s="357" t="s">
        <v>135</v>
      </c>
      <c r="P2831" s="392"/>
      <c r="Q2831" s="392"/>
      <c r="R2831" s="392">
        <v>3</v>
      </c>
    </row>
    <row r="2832" spans="1:18" ht="24">
      <c r="A2832" s="388">
        <v>68.11</v>
      </c>
      <c r="B2832" s="383" t="s">
        <v>5043</v>
      </c>
      <c r="C2832" s="389" t="s">
        <v>5044</v>
      </c>
      <c r="D2832" s="390">
        <v>55.43</v>
      </c>
      <c r="E2832" s="390">
        <v>38.479999999999997</v>
      </c>
      <c r="F2832" s="390">
        <v>16.95</v>
      </c>
      <c r="G2832" s="390"/>
      <c r="H2832" s="391">
        <v>605.09</v>
      </c>
      <c r="I2832" s="391">
        <v>502.12</v>
      </c>
      <c r="J2832" s="391">
        <v>102.97</v>
      </c>
      <c r="K2832" s="391"/>
      <c r="L2832" s="357">
        <v>10.916290817246979</v>
      </c>
      <c r="M2832" s="357">
        <v>13.05</v>
      </c>
      <c r="N2832" s="357">
        <v>6.0749262536873161</v>
      </c>
      <c r="O2832" s="357" t="s">
        <v>135</v>
      </c>
      <c r="P2832" s="392"/>
      <c r="Q2832" s="392"/>
      <c r="R2832" s="392">
        <v>3</v>
      </c>
    </row>
    <row r="2833" spans="1:18" ht="24">
      <c r="A2833" s="393">
        <v>68.12</v>
      </c>
      <c r="B2833" s="394" t="s">
        <v>5045</v>
      </c>
      <c r="C2833" s="395" t="s">
        <v>5046</v>
      </c>
      <c r="D2833" s="396">
        <v>106.57</v>
      </c>
      <c r="E2833" s="396">
        <v>73.95</v>
      </c>
      <c r="F2833" s="396">
        <v>32.619999999999997</v>
      </c>
      <c r="G2833" s="396"/>
      <c r="H2833" s="397">
        <v>1163.23</v>
      </c>
      <c r="I2833" s="397">
        <v>965.01</v>
      </c>
      <c r="J2833" s="397">
        <v>198.22</v>
      </c>
      <c r="K2833" s="397"/>
      <c r="L2833" s="356">
        <v>10.915173125645117</v>
      </c>
      <c r="M2833" s="356">
        <v>13.05</v>
      </c>
      <c r="N2833" s="356">
        <v>6.0766400980993263</v>
      </c>
      <c r="O2833" s="356" t="s">
        <v>135</v>
      </c>
      <c r="P2833" s="398"/>
      <c r="Q2833" s="398"/>
      <c r="R2833" s="398">
        <v>3</v>
      </c>
    </row>
    <row r="2834" spans="1:18" ht="12.75">
      <c r="A2834" s="428" t="s">
        <v>5047</v>
      </c>
      <c r="B2834" s="429"/>
      <c r="C2834" s="429"/>
      <c r="D2834" s="429"/>
      <c r="E2834" s="429"/>
      <c r="F2834" s="429"/>
      <c r="G2834" s="429"/>
      <c r="H2834" s="429"/>
      <c r="I2834" s="429"/>
      <c r="J2834" s="429"/>
      <c r="K2834" s="429"/>
      <c r="L2834" s="429"/>
      <c r="M2834" s="429"/>
      <c r="N2834" s="429"/>
      <c r="O2834" s="429"/>
      <c r="P2834" s="429"/>
      <c r="Q2834" s="429"/>
      <c r="R2834" s="429"/>
    </row>
    <row r="2835" spans="1:18">
      <c r="A2835" s="388">
        <v>68.13</v>
      </c>
      <c r="B2835" s="383" t="s">
        <v>5048</v>
      </c>
      <c r="C2835" s="389" t="s">
        <v>5049</v>
      </c>
      <c r="D2835" s="390">
        <v>7.22</v>
      </c>
      <c r="E2835" s="390">
        <v>7.22</v>
      </c>
      <c r="F2835" s="390"/>
      <c r="G2835" s="390"/>
      <c r="H2835" s="391">
        <v>94.15</v>
      </c>
      <c r="I2835" s="391">
        <v>94.15</v>
      </c>
      <c r="J2835" s="391"/>
      <c r="K2835" s="391"/>
      <c r="L2835" s="357">
        <v>13.04016620498615</v>
      </c>
      <c r="M2835" s="357">
        <v>13.05</v>
      </c>
      <c r="N2835" s="357" t="s">
        <v>135</v>
      </c>
      <c r="O2835" s="357" t="s">
        <v>135</v>
      </c>
      <c r="P2835" s="392"/>
      <c r="Q2835" s="392"/>
      <c r="R2835" s="392">
        <v>4</v>
      </c>
    </row>
    <row r="2836" spans="1:18">
      <c r="A2836" s="393">
        <v>68.14</v>
      </c>
      <c r="B2836" s="394" t="s">
        <v>5050</v>
      </c>
      <c r="C2836" s="395" t="s">
        <v>5051</v>
      </c>
      <c r="D2836" s="396">
        <v>29.24</v>
      </c>
      <c r="E2836" s="396">
        <v>9.2200000000000006</v>
      </c>
      <c r="F2836" s="396">
        <v>20.02</v>
      </c>
      <c r="G2836" s="396"/>
      <c r="H2836" s="397">
        <v>187.81</v>
      </c>
      <c r="I2836" s="397">
        <v>120.34</v>
      </c>
      <c r="J2836" s="397">
        <v>67.47</v>
      </c>
      <c r="K2836" s="397"/>
      <c r="L2836" s="356">
        <v>6.4230506155950753</v>
      </c>
      <c r="M2836" s="356">
        <v>13.05</v>
      </c>
      <c r="N2836" s="356">
        <v>3.3701298701298703</v>
      </c>
      <c r="O2836" s="356" t="s">
        <v>135</v>
      </c>
      <c r="P2836" s="398"/>
      <c r="Q2836" s="398"/>
      <c r="R2836" s="398">
        <v>4</v>
      </c>
    </row>
    <row r="2837" spans="1:18" ht="12.75">
      <c r="A2837" s="428" t="s">
        <v>5052</v>
      </c>
      <c r="B2837" s="429"/>
      <c r="C2837" s="429"/>
      <c r="D2837" s="429"/>
      <c r="E2837" s="429"/>
      <c r="F2837" s="429"/>
      <c r="G2837" s="429"/>
      <c r="H2837" s="429"/>
      <c r="I2837" s="429"/>
      <c r="J2837" s="429"/>
      <c r="K2837" s="429"/>
      <c r="L2837" s="429"/>
      <c r="M2837" s="429"/>
      <c r="N2837" s="429"/>
      <c r="O2837" s="429"/>
      <c r="P2837" s="429"/>
      <c r="Q2837" s="429"/>
      <c r="R2837" s="429"/>
    </row>
    <row r="2838" spans="1:18" ht="36">
      <c r="A2838" s="388">
        <v>68.150000000000006</v>
      </c>
      <c r="B2838" s="383" t="s">
        <v>5053</v>
      </c>
      <c r="C2838" s="389" t="s">
        <v>5054</v>
      </c>
      <c r="D2838" s="390">
        <v>5.35</v>
      </c>
      <c r="E2838" s="390">
        <v>5.35</v>
      </c>
      <c r="F2838" s="390"/>
      <c r="G2838" s="390"/>
      <c r="H2838" s="391">
        <v>69.86</v>
      </c>
      <c r="I2838" s="391">
        <v>69.86</v>
      </c>
      <c r="J2838" s="391"/>
      <c r="K2838" s="391"/>
      <c r="L2838" s="357">
        <v>13.057943925233646</v>
      </c>
      <c r="M2838" s="357">
        <v>13.05</v>
      </c>
      <c r="N2838" s="357" t="s">
        <v>135</v>
      </c>
      <c r="O2838" s="357" t="s">
        <v>135</v>
      </c>
      <c r="P2838" s="392"/>
      <c r="Q2838" s="392"/>
      <c r="R2838" s="392">
        <v>5</v>
      </c>
    </row>
    <row r="2839" spans="1:18" ht="36">
      <c r="A2839" s="388">
        <v>68.16</v>
      </c>
      <c r="B2839" s="383" t="s">
        <v>5055</v>
      </c>
      <c r="C2839" s="389" t="s">
        <v>5056</v>
      </c>
      <c r="D2839" s="390">
        <v>7.58</v>
      </c>
      <c r="E2839" s="390">
        <v>7.58</v>
      </c>
      <c r="F2839" s="390"/>
      <c r="G2839" s="390"/>
      <c r="H2839" s="391">
        <v>98.86</v>
      </c>
      <c r="I2839" s="391">
        <v>98.86</v>
      </c>
      <c r="J2839" s="391"/>
      <c r="K2839" s="391"/>
      <c r="L2839" s="357">
        <v>13.042216358839051</v>
      </c>
      <c r="M2839" s="357">
        <v>13.05</v>
      </c>
      <c r="N2839" s="357" t="s">
        <v>135</v>
      </c>
      <c r="O2839" s="357" t="s">
        <v>135</v>
      </c>
      <c r="P2839" s="392"/>
      <c r="Q2839" s="392"/>
      <c r="R2839" s="392">
        <v>5</v>
      </c>
    </row>
    <row r="2840" spans="1:18" ht="36">
      <c r="A2840" s="388">
        <v>68.17</v>
      </c>
      <c r="B2840" s="383" t="s">
        <v>5057</v>
      </c>
      <c r="C2840" s="389" t="s">
        <v>5058</v>
      </c>
      <c r="D2840" s="390">
        <v>9.9</v>
      </c>
      <c r="E2840" s="390">
        <v>9.9</v>
      </c>
      <c r="F2840" s="390"/>
      <c r="G2840" s="390"/>
      <c r="H2840" s="391">
        <v>129.16999999999999</v>
      </c>
      <c r="I2840" s="391">
        <v>129.16999999999999</v>
      </c>
      <c r="J2840" s="391"/>
      <c r="K2840" s="391"/>
      <c r="L2840" s="357">
        <v>13.047474747474746</v>
      </c>
      <c r="M2840" s="357">
        <v>13.05</v>
      </c>
      <c r="N2840" s="357" t="s">
        <v>135</v>
      </c>
      <c r="O2840" s="357" t="s">
        <v>135</v>
      </c>
      <c r="P2840" s="392"/>
      <c r="Q2840" s="392"/>
      <c r="R2840" s="392">
        <v>5</v>
      </c>
    </row>
    <row r="2841" spans="1:18" ht="36">
      <c r="A2841" s="388">
        <v>68.180000000000007</v>
      </c>
      <c r="B2841" s="383" t="s">
        <v>5059</v>
      </c>
      <c r="C2841" s="389" t="s">
        <v>5060</v>
      </c>
      <c r="D2841" s="390">
        <v>11.72</v>
      </c>
      <c r="E2841" s="390">
        <v>11.72</v>
      </c>
      <c r="F2841" s="390"/>
      <c r="G2841" s="390"/>
      <c r="H2841" s="391">
        <v>152.9</v>
      </c>
      <c r="I2841" s="391">
        <v>152.9</v>
      </c>
      <c r="J2841" s="391"/>
      <c r="K2841" s="391"/>
      <c r="L2841" s="357">
        <v>13.046075085324231</v>
      </c>
      <c r="M2841" s="357">
        <v>13.05</v>
      </c>
      <c r="N2841" s="357" t="s">
        <v>135</v>
      </c>
      <c r="O2841" s="357" t="s">
        <v>135</v>
      </c>
      <c r="P2841" s="392"/>
      <c r="Q2841" s="392"/>
      <c r="R2841" s="392">
        <v>5</v>
      </c>
    </row>
    <row r="2842" spans="1:18" ht="36">
      <c r="A2842" s="388">
        <v>68.19</v>
      </c>
      <c r="B2842" s="383" t="s">
        <v>5061</v>
      </c>
      <c r="C2842" s="389" t="s">
        <v>5062</v>
      </c>
      <c r="D2842" s="390">
        <v>17.37</v>
      </c>
      <c r="E2842" s="390">
        <v>17.37</v>
      </c>
      <c r="F2842" s="390"/>
      <c r="G2842" s="390"/>
      <c r="H2842" s="391">
        <v>226.71</v>
      </c>
      <c r="I2842" s="391">
        <v>226.71</v>
      </c>
      <c r="J2842" s="391"/>
      <c r="K2842" s="391"/>
      <c r="L2842" s="357">
        <v>13.051813471502591</v>
      </c>
      <c r="M2842" s="357">
        <v>13.05</v>
      </c>
      <c r="N2842" s="357" t="s">
        <v>135</v>
      </c>
      <c r="O2842" s="357" t="s">
        <v>135</v>
      </c>
      <c r="P2842" s="392"/>
      <c r="Q2842" s="392"/>
      <c r="R2842" s="392">
        <v>5</v>
      </c>
    </row>
    <row r="2843" spans="1:18" ht="36">
      <c r="A2843" s="388">
        <v>68.2</v>
      </c>
      <c r="B2843" s="383" t="s">
        <v>5063</v>
      </c>
      <c r="C2843" s="389" t="s">
        <v>5064</v>
      </c>
      <c r="D2843" s="390">
        <v>22.12</v>
      </c>
      <c r="E2843" s="390">
        <v>22.12</v>
      </c>
      <c r="F2843" s="390"/>
      <c r="G2843" s="390"/>
      <c r="H2843" s="391">
        <v>288.66000000000003</v>
      </c>
      <c r="I2843" s="391">
        <v>288.66000000000003</v>
      </c>
      <c r="J2843" s="391"/>
      <c r="K2843" s="391"/>
      <c r="L2843" s="357">
        <v>13.049728752260398</v>
      </c>
      <c r="M2843" s="357">
        <v>13.05</v>
      </c>
      <c r="N2843" s="357" t="s">
        <v>135</v>
      </c>
      <c r="O2843" s="357" t="s">
        <v>135</v>
      </c>
      <c r="P2843" s="392"/>
      <c r="Q2843" s="392"/>
      <c r="R2843" s="392">
        <v>5</v>
      </c>
    </row>
    <row r="2844" spans="1:18">
      <c r="A2844" s="388">
        <v>68.209999999999994</v>
      </c>
      <c r="B2844" s="383" t="s">
        <v>5065</v>
      </c>
      <c r="C2844" s="389" t="s">
        <v>5066</v>
      </c>
      <c r="D2844" s="390">
        <v>5.25</v>
      </c>
      <c r="E2844" s="390">
        <v>5.25</v>
      </c>
      <c r="F2844" s="390"/>
      <c r="G2844" s="390"/>
      <c r="H2844" s="391">
        <v>68.540000000000006</v>
      </c>
      <c r="I2844" s="391">
        <v>68.540000000000006</v>
      </c>
      <c r="J2844" s="391"/>
      <c r="K2844" s="391"/>
      <c r="L2844" s="357">
        <v>13.055238095238096</v>
      </c>
      <c r="M2844" s="357">
        <v>13.05</v>
      </c>
      <c r="N2844" s="357" t="s">
        <v>135</v>
      </c>
      <c r="O2844" s="357" t="s">
        <v>135</v>
      </c>
      <c r="P2844" s="392"/>
      <c r="Q2844" s="392"/>
      <c r="R2844" s="392">
        <v>5</v>
      </c>
    </row>
    <row r="2845" spans="1:18">
      <c r="A2845" s="388">
        <v>68.22</v>
      </c>
      <c r="B2845" s="383" t="s">
        <v>5067</v>
      </c>
      <c r="C2845" s="389" t="s">
        <v>5068</v>
      </c>
      <c r="D2845" s="390">
        <v>1.72</v>
      </c>
      <c r="E2845" s="390">
        <v>1.72</v>
      </c>
      <c r="F2845" s="390"/>
      <c r="G2845" s="390"/>
      <c r="H2845" s="391">
        <v>22.41</v>
      </c>
      <c r="I2845" s="391">
        <v>22.41</v>
      </c>
      <c r="J2845" s="391"/>
      <c r="K2845" s="391"/>
      <c r="L2845" s="357">
        <v>13.029069767441861</v>
      </c>
      <c r="M2845" s="357">
        <v>13.05</v>
      </c>
      <c r="N2845" s="357" t="s">
        <v>135</v>
      </c>
      <c r="O2845" s="357" t="s">
        <v>135</v>
      </c>
      <c r="P2845" s="392"/>
      <c r="Q2845" s="392"/>
      <c r="R2845" s="392">
        <v>5</v>
      </c>
    </row>
    <row r="2846" spans="1:18" ht="24">
      <c r="A2846" s="393">
        <v>68.23</v>
      </c>
      <c r="B2846" s="394" t="s">
        <v>5069</v>
      </c>
      <c r="C2846" s="395" t="s">
        <v>5070</v>
      </c>
      <c r="D2846" s="396">
        <v>2.5299999999999998</v>
      </c>
      <c r="E2846" s="396">
        <v>2.5299999999999998</v>
      </c>
      <c r="F2846" s="396"/>
      <c r="G2846" s="396"/>
      <c r="H2846" s="397">
        <v>32.950000000000003</v>
      </c>
      <c r="I2846" s="397">
        <v>32.950000000000003</v>
      </c>
      <c r="J2846" s="397"/>
      <c r="K2846" s="397"/>
      <c r="L2846" s="356">
        <v>13.023715415019765</v>
      </c>
      <c r="M2846" s="356">
        <v>13.05</v>
      </c>
      <c r="N2846" s="356" t="s">
        <v>135</v>
      </c>
      <c r="O2846" s="356" t="s">
        <v>135</v>
      </c>
      <c r="P2846" s="398"/>
      <c r="Q2846" s="398"/>
      <c r="R2846" s="398">
        <v>5</v>
      </c>
    </row>
    <row r="2847" spans="1:18" ht="12.75">
      <c r="A2847" s="428" t="s">
        <v>5071</v>
      </c>
      <c r="B2847" s="429"/>
      <c r="C2847" s="429"/>
      <c r="D2847" s="429"/>
      <c r="E2847" s="429"/>
      <c r="F2847" s="429"/>
      <c r="G2847" s="429"/>
      <c r="H2847" s="429"/>
      <c r="I2847" s="429"/>
      <c r="J2847" s="429"/>
      <c r="K2847" s="429"/>
      <c r="L2847" s="429"/>
      <c r="M2847" s="429"/>
      <c r="N2847" s="429"/>
      <c r="O2847" s="429"/>
      <c r="P2847" s="429"/>
      <c r="Q2847" s="429"/>
      <c r="R2847" s="429"/>
    </row>
    <row r="2848" spans="1:18" ht="24">
      <c r="A2848" s="388">
        <v>68.239999999999995</v>
      </c>
      <c r="B2848" s="383" t="s">
        <v>5072</v>
      </c>
      <c r="C2848" s="389" t="s">
        <v>5073</v>
      </c>
      <c r="D2848" s="390">
        <v>1.65</v>
      </c>
      <c r="E2848" s="390">
        <v>1.65</v>
      </c>
      <c r="F2848" s="390"/>
      <c r="G2848" s="390"/>
      <c r="H2848" s="391">
        <v>21.54</v>
      </c>
      <c r="I2848" s="391">
        <v>21.54</v>
      </c>
      <c r="J2848" s="391"/>
      <c r="K2848" s="391"/>
      <c r="L2848" s="357">
        <v>13.054545454545455</v>
      </c>
      <c r="M2848" s="357">
        <v>13.05</v>
      </c>
      <c r="N2848" s="357" t="s">
        <v>135</v>
      </c>
      <c r="O2848" s="357" t="s">
        <v>135</v>
      </c>
      <c r="P2848" s="392"/>
      <c r="Q2848" s="392"/>
      <c r="R2848" s="392">
        <v>6</v>
      </c>
    </row>
    <row r="2849" spans="1:18" ht="24">
      <c r="A2849" s="388">
        <v>68.25</v>
      </c>
      <c r="B2849" s="383" t="s">
        <v>5074</v>
      </c>
      <c r="C2849" s="389" t="s">
        <v>5075</v>
      </c>
      <c r="D2849" s="390">
        <v>2.29</v>
      </c>
      <c r="E2849" s="390">
        <v>2.29</v>
      </c>
      <c r="F2849" s="390"/>
      <c r="G2849" s="390"/>
      <c r="H2849" s="391">
        <v>29.92</v>
      </c>
      <c r="I2849" s="391">
        <v>29.92</v>
      </c>
      <c r="J2849" s="391"/>
      <c r="K2849" s="391"/>
      <c r="L2849" s="357">
        <v>13.065502183406114</v>
      </c>
      <c r="M2849" s="357">
        <v>13.05</v>
      </c>
      <c r="N2849" s="357" t="s">
        <v>135</v>
      </c>
      <c r="O2849" s="357" t="s">
        <v>135</v>
      </c>
      <c r="P2849" s="392"/>
      <c r="Q2849" s="392"/>
      <c r="R2849" s="392">
        <v>6</v>
      </c>
    </row>
    <row r="2850" spans="1:18" ht="24">
      <c r="A2850" s="388">
        <v>68.260000000000005</v>
      </c>
      <c r="B2850" s="383" t="s">
        <v>5076</v>
      </c>
      <c r="C2850" s="389" t="s">
        <v>5077</v>
      </c>
      <c r="D2850" s="390">
        <v>2.11</v>
      </c>
      <c r="E2850" s="390">
        <v>2.11</v>
      </c>
      <c r="F2850" s="390"/>
      <c r="G2850" s="390"/>
      <c r="H2850" s="391">
        <v>27.52</v>
      </c>
      <c r="I2850" s="391">
        <v>27.52</v>
      </c>
      <c r="J2850" s="391"/>
      <c r="K2850" s="391"/>
      <c r="L2850" s="357">
        <v>13.04265402843602</v>
      </c>
      <c r="M2850" s="357">
        <v>13.05</v>
      </c>
      <c r="N2850" s="357" t="s">
        <v>135</v>
      </c>
      <c r="O2850" s="357" t="s">
        <v>135</v>
      </c>
      <c r="P2850" s="392"/>
      <c r="Q2850" s="392"/>
      <c r="R2850" s="392">
        <v>6</v>
      </c>
    </row>
    <row r="2851" spans="1:18" ht="24">
      <c r="A2851" s="388">
        <v>68.27</v>
      </c>
      <c r="B2851" s="383" t="s">
        <v>5078</v>
      </c>
      <c r="C2851" s="389" t="s">
        <v>5079</v>
      </c>
      <c r="D2851" s="390">
        <v>2.93</v>
      </c>
      <c r="E2851" s="390">
        <v>2.93</v>
      </c>
      <c r="F2851" s="390"/>
      <c r="G2851" s="390"/>
      <c r="H2851" s="391">
        <v>38.29</v>
      </c>
      <c r="I2851" s="391">
        <v>38.29</v>
      </c>
      <c r="J2851" s="391"/>
      <c r="K2851" s="391"/>
      <c r="L2851" s="357">
        <v>13.068259385665527</v>
      </c>
      <c r="M2851" s="357">
        <v>13.05</v>
      </c>
      <c r="N2851" s="357" t="s">
        <v>135</v>
      </c>
      <c r="O2851" s="357" t="s">
        <v>135</v>
      </c>
      <c r="P2851" s="392"/>
      <c r="Q2851" s="392"/>
      <c r="R2851" s="392">
        <v>6</v>
      </c>
    </row>
    <row r="2852" spans="1:18" ht="24">
      <c r="A2852" s="388">
        <v>68.28</v>
      </c>
      <c r="B2852" s="383" t="s">
        <v>5080</v>
      </c>
      <c r="C2852" s="389" t="s">
        <v>5081</v>
      </c>
      <c r="D2852" s="390">
        <v>3.76</v>
      </c>
      <c r="E2852" s="390">
        <v>3.76</v>
      </c>
      <c r="F2852" s="390"/>
      <c r="G2852" s="390"/>
      <c r="H2852" s="391">
        <v>49.06</v>
      </c>
      <c r="I2852" s="391">
        <v>49.06</v>
      </c>
      <c r="J2852" s="391"/>
      <c r="K2852" s="391"/>
      <c r="L2852" s="357">
        <v>13.047872340425533</v>
      </c>
      <c r="M2852" s="357">
        <v>13.05</v>
      </c>
      <c r="N2852" s="357" t="s">
        <v>135</v>
      </c>
      <c r="O2852" s="357" t="s">
        <v>135</v>
      </c>
      <c r="P2852" s="392"/>
      <c r="Q2852" s="392"/>
      <c r="R2852" s="392">
        <v>6</v>
      </c>
    </row>
    <row r="2853" spans="1:18" ht="24">
      <c r="A2853" s="388">
        <v>68.290000000000006</v>
      </c>
      <c r="B2853" s="383" t="s">
        <v>5082</v>
      </c>
      <c r="C2853" s="389" t="s">
        <v>5083</v>
      </c>
      <c r="D2853" s="390">
        <v>4.8600000000000003</v>
      </c>
      <c r="E2853" s="390">
        <v>4.8600000000000003</v>
      </c>
      <c r="F2853" s="390"/>
      <c r="G2853" s="390"/>
      <c r="H2853" s="391">
        <v>63.43</v>
      </c>
      <c r="I2853" s="391">
        <v>63.43</v>
      </c>
      <c r="J2853" s="391"/>
      <c r="K2853" s="391"/>
      <c r="L2853" s="357">
        <v>13.051440329218106</v>
      </c>
      <c r="M2853" s="357">
        <v>13.05</v>
      </c>
      <c r="N2853" s="357" t="s">
        <v>135</v>
      </c>
      <c r="O2853" s="357" t="s">
        <v>135</v>
      </c>
      <c r="P2853" s="392"/>
      <c r="Q2853" s="392"/>
      <c r="R2853" s="392">
        <v>6</v>
      </c>
    </row>
    <row r="2854" spans="1:18">
      <c r="A2854" s="393">
        <v>68.3</v>
      </c>
      <c r="B2854" s="394" t="s">
        <v>5084</v>
      </c>
      <c r="C2854" s="395" t="s">
        <v>5085</v>
      </c>
      <c r="D2854" s="396">
        <v>4.7699999999999996</v>
      </c>
      <c r="E2854" s="396">
        <v>4.7699999999999996</v>
      </c>
      <c r="F2854" s="396"/>
      <c r="G2854" s="396"/>
      <c r="H2854" s="397">
        <v>62.23</v>
      </c>
      <c r="I2854" s="397">
        <v>62.23</v>
      </c>
      <c r="J2854" s="397"/>
      <c r="K2854" s="397"/>
      <c r="L2854" s="356">
        <v>13.046121593291405</v>
      </c>
      <c r="M2854" s="356">
        <v>13.05</v>
      </c>
      <c r="N2854" s="356" t="s">
        <v>135</v>
      </c>
      <c r="O2854" s="356" t="s">
        <v>135</v>
      </c>
      <c r="P2854" s="398"/>
      <c r="Q2854" s="398"/>
      <c r="R2854" s="398">
        <v>6</v>
      </c>
    </row>
    <row r="2855" spans="1:18" ht="12.75">
      <c r="A2855" s="428" t="s">
        <v>5086</v>
      </c>
      <c r="B2855" s="429"/>
      <c r="C2855" s="429"/>
      <c r="D2855" s="429"/>
      <c r="E2855" s="429"/>
      <c r="F2855" s="429"/>
      <c r="G2855" s="429"/>
      <c r="H2855" s="429"/>
      <c r="I2855" s="429"/>
      <c r="J2855" s="429"/>
      <c r="K2855" s="429"/>
      <c r="L2855" s="429"/>
      <c r="M2855" s="429"/>
      <c r="N2855" s="429"/>
      <c r="O2855" s="429"/>
      <c r="P2855" s="429"/>
      <c r="Q2855" s="429"/>
      <c r="R2855" s="429"/>
    </row>
    <row r="2856" spans="1:18" ht="24">
      <c r="A2856" s="388">
        <v>68.31</v>
      </c>
      <c r="B2856" s="383" t="s">
        <v>5087</v>
      </c>
      <c r="C2856" s="389" t="s">
        <v>5088</v>
      </c>
      <c r="D2856" s="390">
        <v>0.71</v>
      </c>
      <c r="E2856" s="390">
        <v>0.71</v>
      </c>
      <c r="F2856" s="390"/>
      <c r="G2856" s="390"/>
      <c r="H2856" s="391">
        <v>9.27</v>
      </c>
      <c r="I2856" s="391">
        <v>9.27</v>
      </c>
      <c r="J2856" s="391"/>
      <c r="K2856" s="391"/>
      <c r="L2856" s="357">
        <v>13.056338028169014</v>
      </c>
      <c r="M2856" s="357">
        <v>13.05</v>
      </c>
      <c r="N2856" s="357" t="s">
        <v>135</v>
      </c>
      <c r="O2856" s="357" t="s">
        <v>135</v>
      </c>
      <c r="P2856" s="392"/>
      <c r="Q2856" s="392"/>
      <c r="R2856" s="392">
        <v>7</v>
      </c>
    </row>
    <row r="2857" spans="1:18" ht="24">
      <c r="A2857" s="388">
        <v>68.319999999999993</v>
      </c>
      <c r="B2857" s="383" t="s">
        <v>5089</v>
      </c>
      <c r="C2857" s="389" t="s">
        <v>5090</v>
      </c>
      <c r="D2857" s="390">
        <v>1.24</v>
      </c>
      <c r="E2857" s="390">
        <v>1.24</v>
      </c>
      <c r="F2857" s="390"/>
      <c r="G2857" s="390"/>
      <c r="H2857" s="391">
        <v>16.22</v>
      </c>
      <c r="I2857" s="391">
        <v>16.22</v>
      </c>
      <c r="J2857" s="391"/>
      <c r="K2857" s="391"/>
      <c r="L2857" s="357">
        <v>13.080645161290322</v>
      </c>
      <c r="M2857" s="357">
        <v>13.05</v>
      </c>
      <c r="N2857" s="357" t="s">
        <v>135</v>
      </c>
      <c r="O2857" s="357" t="s">
        <v>135</v>
      </c>
      <c r="P2857" s="392"/>
      <c r="Q2857" s="392"/>
      <c r="R2857" s="392">
        <v>7</v>
      </c>
    </row>
    <row r="2858" spans="1:18" ht="24">
      <c r="A2858" s="388">
        <v>68.33</v>
      </c>
      <c r="B2858" s="383" t="s">
        <v>5091</v>
      </c>
      <c r="C2858" s="389" t="s">
        <v>5092</v>
      </c>
      <c r="D2858" s="390">
        <v>0.98</v>
      </c>
      <c r="E2858" s="390">
        <v>0.98</v>
      </c>
      <c r="F2858" s="390"/>
      <c r="G2858" s="390"/>
      <c r="H2858" s="391">
        <v>12.75</v>
      </c>
      <c r="I2858" s="391">
        <v>12.75</v>
      </c>
      <c r="J2858" s="391"/>
      <c r="K2858" s="391"/>
      <c r="L2858" s="357">
        <v>13.010204081632653</v>
      </c>
      <c r="M2858" s="357">
        <v>13.05</v>
      </c>
      <c r="N2858" s="357" t="s">
        <v>135</v>
      </c>
      <c r="O2858" s="357" t="s">
        <v>135</v>
      </c>
      <c r="P2858" s="392"/>
      <c r="Q2858" s="392"/>
      <c r="R2858" s="392">
        <v>7</v>
      </c>
    </row>
    <row r="2859" spans="1:18" ht="24">
      <c r="A2859" s="393">
        <v>68.34</v>
      </c>
      <c r="B2859" s="394" t="s">
        <v>5093</v>
      </c>
      <c r="C2859" s="395" t="s">
        <v>5094</v>
      </c>
      <c r="D2859" s="396">
        <v>1.86</v>
      </c>
      <c r="E2859" s="396">
        <v>1.86</v>
      </c>
      <c r="F2859" s="396"/>
      <c r="G2859" s="396"/>
      <c r="H2859" s="397">
        <v>24.33</v>
      </c>
      <c r="I2859" s="397">
        <v>24.33</v>
      </c>
      <c r="J2859" s="397"/>
      <c r="K2859" s="397"/>
      <c r="L2859" s="356">
        <v>13.08064516129032</v>
      </c>
      <c r="M2859" s="356">
        <v>13.05</v>
      </c>
      <c r="N2859" s="356" t="s">
        <v>135</v>
      </c>
      <c r="O2859" s="356" t="s">
        <v>135</v>
      </c>
      <c r="P2859" s="398"/>
      <c r="Q2859" s="398"/>
      <c r="R2859" s="398">
        <v>7</v>
      </c>
    </row>
    <row r="2860" spans="1:18" ht="12.75">
      <c r="A2860" s="428" t="s">
        <v>5095</v>
      </c>
      <c r="B2860" s="429"/>
      <c r="C2860" s="429"/>
      <c r="D2860" s="429"/>
      <c r="E2860" s="429"/>
      <c r="F2860" s="429"/>
      <c r="G2860" s="429"/>
      <c r="H2860" s="429"/>
      <c r="I2860" s="429"/>
      <c r="J2860" s="429"/>
      <c r="K2860" s="429"/>
      <c r="L2860" s="429"/>
      <c r="M2860" s="429"/>
      <c r="N2860" s="429"/>
      <c r="O2860" s="429"/>
      <c r="P2860" s="429"/>
      <c r="Q2860" s="429"/>
      <c r="R2860" s="429"/>
    </row>
    <row r="2861" spans="1:18" ht="24">
      <c r="A2861" s="388">
        <v>68.349999999999994</v>
      </c>
      <c r="B2861" s="383" t="s">
        <v>5096</v>
      </c>
      <c r="C2861" s="389" t="s">
        <v>5097</v>
      </c>
      <c r="D2861" s="390">
        <v>17.8</v>
      </c>
      <c r="E2861" s="390">
        <v>2.13</v>
      </c>
      <c r="F2861" s="390">
        <v>5.25</v>
      </c>
      <c r="G2861" s="390">
        <v>10.42</v>
      </c>
      <c r="H2861" s="391">
        <v>113.25</v>
      </c>
      <c r="I2861" s="391">
        <v>27.81</v>
      </c>
      <c r="J2861" s="391">
        <v>26.53</v>
      </c>
      <c r="K2861" s="391">
        <v>58.91</v>
      </c>
      <c r="L2861" s="357">
        <v>6.3623595505617976</v>
      </c>
      <c r="M2861" s="357">
        <v>13.05</v>
      </c>
      <c r="N2861" s="357">
        <v>5.0533333333333337</v>
      </c>
      <c r="O2861" s="357">
        <v>5.6535508637236083</v>
      </c>
      <c r="P2861" s="392"/>
      <c r="Q2861" s="392"/>
      <c r="R2861" s="392">
        <v>8</v>
      </c>
    </row>
    <row r="2862" spans="1:18" ht="36">
      <c r="A2862" s="388">
        <v>68.36</v>
      </c>
      <c r="B2862" s="383" t="s">
        <v>5098</v>
      </c>
      <c r="C2862" s="389" t="s">
        <v>5099</v>
      </c>
      <c r="D2862" s="390">
        <v>2</v>
      </c>
      <c r="E2862" s="390"/>
      <c r="F2862" s="390"/>
      <c r="G2862" s="390">
        <v>2</v>
      </c>
      <c r="H2862" s="391">
        <v>10.7</v>
      </c>
      <c r="I2862" s="391">
        <v>0</v>
      </c>
      <c r="J2862" s="391"/>
      <c r="K2862" s="391">
        <v>10.7</v>
      </c>
      <c r="L2862" s="357">
        <v>5.35</v>
      </c>
      <c r="M2862" s="357" t="s">
        <v>135</v>
      </c>
      <c r="N2862" s="357" t="s">
        <v>135</v>
      </c>
      <c r="O2862" s="357">
        <v>5.35</v>
      </c>
      <c r="P2862" s="392"/>
      <c r="Q2862" s="392"/>
      <c r="R2862" s="392">
        <v>8</v>
      </c>
    </row>
    <row r="2863" spans="1:18" ht="24">
      <c r="A2863" s="388">
        <v>68.37</v>
      </c>
      <c r="B2863" s="383" t="s">
        <v>5100</v>
      </c>
      <c r="C2863" s="389" t="s">
        <v>5101</v>
      </c>
      <c r="D2863" s="390">
        <v>21.67</v>
      </c>
      <c r="E2863" s="390">
        <v>2.13</v>
      </c>
      <c r="F2863" s="390">
        <v>5.25</v>
      </c>
      <c r="G2863" s="390">
        <v>14.29</v>
      </c>
      <c r="H2863" s="391">
        <v>98.66</v>
      </c>
      <c r="I2863" s="391">
        <v>27.81</v>
      </c>
      <c r="J2863" s="391">
        <v>26.53</v>
      </c>
      <c r="K2863" s="391">
        <v>44.32</v>
      </c>
      <c r="L2863" s="357">
        <v>4.5528380249192431</v>
      </c>
      <c r="M2863" s="357">
        <v>13.05</v>
      </c>
      <c r="N2863" s="357">
        <v>5.0533333333333337</v>
      </c>
      <c r="O2863" s="357">
        <v>3.1014695591322607</v>
      </c>
      <c r="P2863" s="392"/>
      <c r="Q2863" s="392"/>
      <c r="R2863" s="392">
        <v>8</v>
      </c>
    </row>
    <row r="2864" spans="1:18" ht="36">
      <c r="A2864" s="388">
        <v>68.38</v>
      </c>
      <c r="B2864" s="383" t="s">
        <v>5102</v>
      </c>
      <c r="C2864" s="389" t="s">
        <v>5103</v>
      </c>
      <c r="D2864" s="390">
        <v>2.8</v>
      </c>
      <c r="E2864" s="390"/>
      <c r="F2864" s="390"/>
      <c r="G2864" s="390">
        <v>2.8</v>
      </c>
      <c r="H2864" s="391">
        <v>7.68</v>
      </c>
      <c r="I2864" s="391">
        <v>0</v>
      </c>
      <c r="J2864" s="391"/>
      <c r="K2864" s="391">
        <v>7.68</v>
      </c>
      <c r="L2864" s="357">
        <v>2.7428571428571429</v>
      </c>
      <c r="M2864" s="357" t="s">
        <v>135</v>
      </c>
      <c r="N2864" s="357" t="s">
        <v>135</v>
      </c>
      <c r="O2864" s="357">
        <v>2.7428571428571429</v>
      </c>
      <c r="P2864" s="392"/>
      <c r="Q2864" s="392"/>
      <c r="R2864" s="392">
        <v>8</v>
      </c>
    </row>
    <row r="2865" spans="1:18" ht="24">
      <c r="A2865" s="388">
        <v>68.39</v>
      </c>
      <c r="B2865" s="383" t="s">
        <v>5104</v>
      </c>
      <c r="C2865" s="389" t="s">
        <v>5105</v>
      </c>
      <c r="D2865" s="390">
        <v>13.1</v>
      </c>
      <c r="E2865" s="390">
        <v>2.13</v>
      </c>
      <c r="F2865" s="390">
        <v>5.25</v>
      </c>
      <c r="G2865" s="390">
        <v>5.72</v>
      </c>
      <c r="H2865" s="391">
        <v>73.599999999999994</v>
      </c>
      <c r="I2865" s="391">
        <v>27.81</v>
      </c>
      <c r="J2865" s="391">
        <v>26.53</v>
      </c>
      <c r="K2865" s="391">
        <v>19.260000000000002</v>
      </c>
      <c r="L2865" s="357">
        <v>5.6183206106870225</v>
      </c>
      <c r="M2865" s="357">
        <v>13.05</v>
      </c>
      <c r="N2865" s="357">
        <v>5.0533333333333337</v>
      </c>
      <c r="O2865" s="357">
        <v>3.3671328671328675</v>
      </c>
      <c r="P2865" s="392"/>
      <c r="Q2865" s="392"/>
      <c r="R2865" s="392">
        <v>8</v>
      </c>
    </row>
    <row r="2866" spans="1:18" ht="36">
      <c r="A2866" s="393">
        <v>68.400000000000006</v>
      </c>
      <c r="B2866" s="394" t="s">
        <v>5106</v>
      </c>
      <c r="C2866" s="395" t="s">
        <v>5107</v>
      </c>
      <c r="D2866" s="396">
        <v>1.03</v>
      </c>
      <c r="E2866" s="396"/>
      <c r="F2866" s="396"/>
      <c r="G2866" s="396">
        <v>1.03</v>
      </c>
      <c r="H2866" s="397">
        <v>2.5099999999999998</v>
      </c>
      <c r="I2866" s="397">
        <v>0</v>
      </c>
      <c r="J2866" s="397"/>
      <c r="K2866" s="397">
        <v>2.5099999999999998</v>
      </c>
      <c r="L2866" s="356">
        <v>2.436893203883495</v>
      </c>
      <c r="M2866" s="356" t="s">
        <v>135</v>
      </c>
      <c r="N2866" s="356" t="s">
        <v>135</v>
      </c>
      <c r="O2866" s="356">
        <v>2.436893203883495</v>
      </c>
      <c r="P2866" s="398"/>
      <c r="Q2866" s="398"/>
      <c r="R2866" s="398">
        <v>8</v>
      </c>
    </row>
    <row r="2867" spans="1:18" ht="12.75">
      <c r="A2867" s="428" t="s">
        <v>5108</v>
      </c>
      <c r="B2867" s="429"/>
      <c r="C2867" s="429"/>
      <c r="D2867" s="429"/>
      <c r="E2867" s="429"/>
      <c r="F2867" s="429"/>
      <c r="G2867" s="429"/>
      <c r="H2867" s="429"/>
      <c r="I2867" s="429"/>
      <c r="J2867" s="429"/>
      <c r="K2867" s="429"/>
      <c r="L2867" s="429"/>
      <c r="M2867" s="429"/>
      <c r="N2867" s="429"/>
      <c r="O2867" s="429"/>
      <c r="P2867" s="429"/>
      <c r="Q2867" s="429"/>
      <c r="R2867" s="429"/>
    </row>
    <row r="2868" spans="1:18" ht="24">
      <c r="A2868" s="388">
        <v>68.41</v>
      </c>
      <c r="B2868" s="383" t="s">
        <v>5109</v>
      </c>
      <c r="C2868" s="389" t="s">
        <v>5110</v>
      </c>
      <c r="D2868" s="390">
        <v>20913.89</v>
      </c>
      <c r="E2868" s="390">
        <v>843.22</v>
      </c>
      <c r="F2868" s="390">
        <v>7042.42</v>
      </c>
      <c r="G2868" s="390">
        <v>13028.25</v>
      </c>
      <c r="H2868" s="391">
        <v>126318.71</v>
      </c>
      <c r="I2868" s="391">
        <v>11003.78</v>
      </c>
      <c r="J2868" s="391">
        <v>56001.99</v>
      </c>
      <c r="K2868" s="391">
        <v>59312.94</v>
      </c>
      <c r="L2868" s="357">
        <v>6.0399433104027995</v>
      </c>
      <c r="M2868" s="357">
        <v>13.05</v>
      </c>
      <c r="N2868" s="357">
        <v>7.9520945924838333</v>
      </c>
      <c r="O2868" s="357">
        <v>4.5526406079097352</v>
      </c>
      <c r="P2868" s="392"/>
      <c r="Q2868" s="392"/>
      <c r="R2868" s="392">
        <v>9</v>
      </c>
    </row>
    <row r="2869" spans="1:18" ht="24">
      <c r="A2869" s="388">
        <v>68.42</v>
      </c>
      <c r="B2869" s="383" t="s">
        <v>5111</v>
      </c>
      <c r="C2869" s="389" t="s">
        <v>5112</v>
      </c>
      <c r="D2869" s="390">
        <v>7716.29</v>
      </c>
      <c r="E2869" s="390">
        <v>843.22</v>
      </c>
      <c r="F2869" s="390">
        <v>6792.32</v>
      </c>
      <c r="G2869" s="390">
        <v>80.75</v>
      </c>
      <c r="H2869" s="391">
        <v>65629.919999999998</v>
      </c>
      <c r="I2869" s="391">
        <v>11003.78</v>
      </c>
      <c r="J2869" s="391">
        <v>54002.89</v>
      </c>
      <c r="K2869" s="391">
        <v>623.25</v>
      </c>
      <c r="L2869" s="357">
        <v>8.5053724004670634</v>
      </c>
      <c r="M2869" s="357">
        <v>13.05</v>
      </c>
      <c r="N2869" s="357">
        <v>7.9505809502496945</v>
      </c>
      <c r="O2869" s="357">
        <v>7.7182662538699693</v>
      </c>
      <c r="P2869" s="392"/>
      <c r="Q2869" s="392"/>
      <c r="R2869" s="392">
        <v>9</v>
      </c>
    </row>
    <row r="2870" spans="1:18" ht="24">
      <c r="A2870" s="388">
        <v>68.430000000000007</v>
      </c>
      <c r="B2870" s="383" t="s">
        <v>5113</v>
      </c>
      <c r="C2870" s="389" t="s">
        <v>5114</v>
      </c>
      <c r="D2870" s="390">
        <v>7751.03</v>
      </c>
      <c r="E2870" s="390">
        <v>477.34</v>
      </c>
      <c r="F2870" s="390">
        <v>3022.36</v>
      </c>
      <c r="G2870" s="390">
        <v>4251.33</v>
      </c>
      <c r="H2870" s="391">
        <v>81942.12</v>
      </c>
      <c r="I2870" s="391">
        <v>6229.17</v>
      </c>
      <c r="J2870" s="391">
        <v>23565.96</v>
      </c>
      <c r="K2870" s="391">
        <v>52146.99</v>
      </c>
      <c r="L2870" s="357">
        <v>10.571771751625267</v>
      </c>
      <c r="M2870" s="357">
        <v>13.05</v>
      </c>
      <c r="N2870" s="357">
        <v>7.7972048333090695</v>
      </c>
      <c r="O2870" s="357">
        <v>12.266041450557825</v>
      </c>
      <c r="P2870" s="392"/>
      <c r="Q2870" s="392"/>
      <c r="R2870" s="392">
        <v>9</v>
      </c>
    </row>
    <row r="2871" spans="1:18" ht="24">
      <c r="A2871" s="393">
        <v>68.44</v>
      </c>
      <c r="B2871" s="394" t="s">
        <v>5115</v>
      </c>
      <c r="C2871" s="395" t="s">
        <v>5116</v>
      </c>
      <c r="D2871" s="396">
        <v>3298.05</v>
      </c>
      <c r="E2871" s="396">
        <v>477.34</v>
      </c>
      <c r="F2871" s="396">
        <v>2772.26</v>
      </c>
      <c r="G2871" s="396">
        <v>48.45</v>
      </c>
      <c r="H2871" s="397">
        <v>28169.98</v>
      </c>
      <c r="I2871" s="397">
        <v>6229.17</v>
      </c>
      <c r="J2871" s="397">
        <v>21566.86</v>
      </c>
      <c r="K2871" s="397">
        <v>373.95</v>
      </c>
      <c r="L2871" s="356">
        <v>8.5414047694849984</v>
      </c>
      <c r="M2871" s="356">
        <v>13.05</v>
      </c>
      <c r="N2871" s="356">
        <v>7.7795228441776745</v>
      </c>
      <c r="O2871" s="356">
        <v>7.7182662538699685</v>
      </c>
      <c r="P2871" s="398"/>
      <c r="Q2871" s="398"/>
      <c r="R2871" s="398">
        <v>9</v>
      </c>
    </row>
    <row r="2872" spans="1:18" ht="12.75">
      <c r="A2872" s="428" t="s">
        <v>5117</v>
      </c>
      <c r="B2872" s="429"/>
      <c r="C2872" s="429"/>
      <c r="D2872" s="429"/>
      <c r="E2872" s="429"/>
      <c r="F2872" s="429"/>
      <c r="G2872" s="429"/>
      <c r="H2872" s="429"/>
      <c r="I2872" s="429"/>
      <c r="J2872" s="429"/>
      <c r="K2872" s="429"/>
      <c r="L2872" s="429"/>
      <c r="M2872" s="429"/>
      <c r="N2872" s="429"/>
      <c r="O2872" s="429"/>
      <c r="P2872" s="429"/>
      <c r="Q2872" s="429"/>
      <c r="R2872" s="429"/>
    </row>
    <row r="2873" spans="1:18" ht="36">
      <c r="A2873" s="388">
        <v>68.45</v>
      </c>
      <c r="B2873" s="383" t="s">
        <v>5118</v>
      </c>
      <c r="C2873" s="389" t="s">
        <v>5119</v>
      </c>
      <c r="D2873" s="390">
        <v>57781.39</v>
      </c>
      <c r="E2873" s="390">
        <v>349.98</v>
      </c>
      <c r="F2873" s="390">
        <v>4196.72</v>
      </c>
      <c r="G2873" s="390">
        <v>53234.69</v>
      </c>
      <c r="H2873" s="391">
        <v>311130.81</v>
      </c>
      <c r="I2873" s="391">
        <v>4567.18</v>
      </c>
      <c r="J2873" s="391">
        <v>34050.94</v>
      </c>
      <c r="K2873" s="391">
        <v>272512.69</v>
      </c>
      <c r="L2873" s="357">
        <v>5.3846196846424084</v>
      </c>
      <c r="M2873" s="357">
        <v>13.05</v>
      </c>
      <c r="N2873" s="357">
        <v>8.1137030824072127</v>
      </c>
      <c r="O2873" s="357">
        <v>5.119080997747897</v>
      </c>
      <c r="P2873" s="392"/>
      <c r="Q2873" s="392"/>
      <c r="R2873" s="392">
        <v>10</v>
      </c>
    </row>
    <row r="2874" spans="1:18" ht="36">
      <c r="A2874" s="393">
        <v>68.459999999999994</v>
      </c>
      <c r="B2874" s="394" t="s">
        <v>5120</v>
      </c>
      <c r="C2874" s="395" t="s">
        <v>5121</v>
      </c>
      <c r="D2874" s="396">
        <v>57869.74</v>
      </c>
      <c r="E2874" s="396">
        <v>984.92</v>
      </c>
      <c r="F2874" s="396">
        <v>3650.13</v>
      </c>
      <c r="G2874" s="396">
        <v>53234.69</v>
      </c>
      <c r="H2874" s="397">
        <v>315127.25</v>
      </c>
      <c r="I2874" s="397">
        <v>12852.86</v>
      </c>
      <c r="J2874" s="397">
        <v>29761.7</v>
      </c>
      <c r="K2874" s="397">
        <v>272512.69</v>
      </c>
      <c r="L2874" s="356">
        <v>5.4454581962870403</v>
      </c>
      <c r="M2874" s="356">
        <v>13.05</v>
      </c>
      <c r="N2874" s="356">
        <v>8.1536000087668103</v>
      </c>
      <c r="O2874" s="356">
        <v>5.119080997747897</v>
      </c>
      <c r="P2874" s="398"/>
      <c r="Q2874" s="398"/>
      <c r="R2874" s="398">
        <v>10</v>
      </c>
    </row>
    <row r="2875" spans="1:18" ht="12.75">
      <c r="A2875" s="428" t="s">
        <v>5122</v>
      </c>
      <c r="B2875" s="429"/>
      <c r="C2875" s="429"/>
      <c r="D2875" s="429"/>
      <c r="E2875" s="429"/>
      <c r="F2875" s="429"/>
      <c r="G2875" s="429"/>
      <c r="H2875" s="429"/>
      <c r="I2875" s="429"/>
      <c r="J2875" s="429"/>
      <c r="K2875" s="429"/>
      <c r="L2875" s="429"/>
      <c r="M2875" s="429"/>
      <c r="N2875" s="429"/>
      <c r="O2875" s="429"/>
      <c r="P2875" s="429"/>
      <c r="Q2875" s="429"/>
      <c r="R2875" s="429"/>
    </row>
    <row r="2876" spans="1:18">
      <c r="A2876" s="393">
        <v>68.47</v>
      </c>
      <c r="B2876" s="394" t="s">
        <v>5123</v>
      </c>
      <c r="C2876" s="395" t="s">
        <v>5124</v>
      </c>
      <c r="D2876" s="396">
        <v>405.37</v>
      </c>
      <c r="E2876" s="396">
        <v>122.99</v>
      </c>
      <c r="F2876" s="396">
        <v>59.75</v>
      </c>
      <c r="G2876" s="396">
        <v>222.63</v>
      </c>
      <c r="H2876" s="397">
        <v>3664.72</v>
      </c>
      <c r="I2876" s="397">
        <v>1605.07</v>
      </c>
      <c r="J2876" s="397">
        <v>430.64</v>
      </c>
      <c r="K2876" s="397">
        <v>1629.01</v>
      </c>
      <c r="L2876" s="356">
        <v>9.04043219774527</v>
      </c>
      <c r="M2876" s="356">
        <v>13.05</v>
      </c>
      <c r="N2876" s="356">
        <v>7.2073640167364017</v>
      </c>
      <c r="O2876" s="356">
        <v>7.3171180883079554</v>
      </c>
      <c r="P2876" s="398"/>
      <c r="Q2876" s="398"/>
      <c r="R2876" s="398">
        <v>11</v>
      </c>
    </row>
    <row r="2877" spans="1:18" ht="12.75">
      <c r="A2877" s="428" t="s">
        <v>5125</v>
      </c>
      <c r="B2877" s="429"/>
      <c r="C2877" s="429"/>
      <c r="D2877" s="429"/>
      <c r="E2877" s="429"/>
      <c r="F2877" s="429"/>
      <c r="G2877" s="429"/>
      <c r="H2877" s="429"/>
      <c r="I2877" s="429"/>
      <c r="J2877" s="429"/>
      <c r="K2877" s="429"/>
      <c r="L2877" s="429"/>
      <c r="M2877" s="429"/>
      <c r="N2877" s="429"/>
      <c r="O2877" s="429"/>
      <c r="P2877" s="429"/>
      <c r="Q2877" s="429"/>
      <c r="R2877" s="429"/>
    </row>
    <row r="2878" spans="1:18" ht="24">
      <c r="A2878" s="388">
        <v>68.48</v>
      </c>
      <c r="B2878" s="383" t="s">
        <v>5126</v>
      </c>
      <c r="C2878" s="389" t="s">
        <v>5127</v>
      </c>
      <c r="D2878" s="390">
        <v>3608.62</v>
      </c>
      <c r="E2878" s="390">
        <v>2659.27</v>
      </c>
      <c r="F2878" s="390">
        <v>949.35</v>
      </c>
      <c r="G2878" s="390"/>
      <c r="H2878" s="391">
        <v>39753.21</v>
      </c>
      <c r="I2878" s="391">
        <v>34703.279999999999</v>
      </c>
      <c r="J2878" s="391">
        <v>5049.93</v>
      </c>
      <c r="K2878" s="391"/>
      <c r="L2878" s="357">
        <v>11.016180700655653</v>
      </c>
      <c r="M2878" s="357">
        <v>13.05</v>
      </c>
      <c r="N2878" s="357">
        <v>5.3193553483962717</v>
      </c>
      <c r="O2878" s="357" t="s">
        <v>135</v>
      </c>
      <c r="P2878" s="392"/>
      <c r="Q2878" s="392"/>
      <c r="R2878" s="392">
        <v>12</v>
      </c>
    </row>
    <row r="2879" spans="1:18">
      <c r="A2879" s="388">
        <v>68.489999999999995</v>
      </c>
      <c r="B2879" s="383" t="s">
        <v>5128</v>
      </c>
      <c r="C2879" s="389" t="s">
        <v>5129</v>
      </c>
      <c r="D2879" s="390">
        <v>651.08000000000004</v>
      </c>
      <c r="E2879" s="390">
        <v>172.86</v>
      </c>
      <c r="F2879" s="390">
        <v>478.22</v>
      </c>
      <c r="G2879" s="390"/>
      <c r="H2879" s="391">
        <v>6075.52</v>
      </c>
      <c r="I2879" s="391">
        <v>2255.84</v>
      </c>
      <c r="J2879" s="391">
        <v>3819.68</v>
      </c>
      <c r="K2879" s="391"/>
      <c r="L2879" s="357">
        <v>9.3314492842661423</v>
      </c>
      <c r="M2879" s="357">
        <v>13.05</v>
      </c>
      <c r="N2879" s="357">
        <v>7.9872861862740994</v>
      </c>
      <c r="O2879" s="357" t="s">
        <v>135</v>
      </c>
      <c r="P2879" s="392"/>
      <c r="Q2879" s="392"/>
      <c r="R2879" s="392">
        <v>12</v>
      </c>
    </row>
    <row r="2880" spans="1:18" ht="24">
      <c r="A2880" s="388">
        <v>68.5</v>
      </c>
      <c r="B2880" s="383" t="s">
        <v>5130</v>
      </c>
      <c r="C2880" s="389" t="s">
        <v>5131</v>
      </c>
      <c r="D2880" s="390">
        <v>943.6</v>
      </c>
      <c r="E2880" s="390">
        <v>228.25</v>
      </c>
      <c r="F2880" s="390">
        <v>715.35</v>
      </c>
      <c r="G2880" s="390"/>
      <c r="H2880" s="391">
        <v>8691.23</v>
      </c>
      <c r="I2880" s="391">
        <v>2978.72</v>
      </c>
      <c r="J2880" s="391">
        <v>5712.51</v>
      </c>
      <c r="K2880" s="391"/>
      <c r="L2880" s="357">
        <v>9.2107142857142854</v>
      </c>
      <c r="M2880" s="357">
        <v>13.05</v>
      </c>
      <c r="N2880" s="357">
        <v>7.9856154330048232</v>
      </c>
      <c r="O2880" s="357" t="s">
        <v>135</v>
      </c>
      <c r="P2880" s="392"/>
      <c r="Q2880" s="392"/>
      <c r="R2880" s="392">
        <v>12</v>
      </c>
    </row>
    <row r="2881" spans="1:18" ht="36">
      <c r="A2881" s="388">
        <v>68.510000000000005</v>
      </c>
      <c r="B2881" s="383" t="s">
        <v>5132</v>
      </c>
      <c r="C2881" s="389" t="s">
        <v>5133</v>
      </c>
      <c r="D2881" s="390">
        <v>6861.89</v>
      </c>
      <c r="E2881" s="390">
        <v>2416.4699999999998</v>
      </c>
      <c r="F2881" s="390">
        <v>4445.42</v>
      </c>
      <c r="G2881" s="390"/>
      <c r="H2881" s="391">
        <v>66415.039999999994</v>
      </c>
      <c r="I2881" s="391">
        <v>31535.73</v>
      </c>
      <c r="J2881" s="391">
        <v>34879.31</v>
      </c>
      <c r="K2881" s="391"/>
      <c r="L2881" s="357">
        <v>9.6788260960172767</v>
      </c>
      <c r="M2881" s="357">
        <v>13.05</v>
      </c>
      <c r="N2881" s="357">
        <v>7.8461225261055194</v>
      </c>
      <c r="O2881" s="357" t="s">
        <v>135</v>
      </c>
      <c r="P2881" s="392"/>
      <c r="Q2881" s="392"/>
      <c r="R2881" s="392">
        <v>12</v>
      </c>
    </row>
    <row r="2882" spans="1:18" ht="24">
      <c r="A2882" s="388">
        <v>68.52</v>
      </c>
      <c r="B2882" s="383" t="s">
        <v>5134</v>
      </c>
      <c r="C2882" s="389" t="s">
        <v>5135</v>
      </c>
      <c r="D2882" s="390">
        <v>2884.18</v>
      </c>
      <c r="E2882" s="390">
        <v>750.78</v>
      </c>
      <c r="F2882" s="390">
        <v>2133.4</v>
      </c>
      <c r="G2882" s="390"/>
      <c r="H2882" s="391">
        <v>27373.759999999998</v>
      </c>
      <c r="I2882" s="391">
        <v>9797.3799999999992</v>
      </c>
      <c r="J2882" s="391">
        <v>17576.38</v>
      </c>
      <c r="K2882" s="391"/>
      <c r="L2882" s="357">
        <v>9.4910026419987652</v>
      </c>
      <c r="M2882" s="357">
        <v>13.05</v>
      </c>
      <c r="N2882" s="357">
        <v>8.2386706665416707</v>
      </c>
      <c r="O2882" s="357" t="s">
        <v>135</v>
      </c>
      <c r="P2882" s="392"/>
      <c r="Q2882" s="392"/>
      <c r="R2882" s="392">
        <v>12</v>
      </c>
    </row>
    <row r="2883" spans="1:18" ht="48">
      <c r="A2883" s="388">
        <v>68.53</v>
      </c>
      <c r="B2883" s="383" t="s">
        <v>5136</v>
      </c>
      <c r="C2883" s="389" t="s">
        <v>5137</v>
      </c>
      <c r="D2883" s="390">
        <v>3298.66</v>
      </c>
      <c r="E2883" s="390">
        <v>48.28</v>
      </c>
      <c r="F2883" s="390">
        <v>3250.38</v>
      </c>
      <c r="G2883" s="390"/>
      <c r="H2883" s="391">
        <v>21656.400000000001</v>
      </c>
      <c r="I2883" s="391">
        <v>630.04</v>
      </c>
      <c r="J2883" s="391">
        <v>21026.36</v>
      </c>
      <c r="K2883" s="391"/>
      <c r="L2883" s="357">
        <v>6.5652113282363151</v>
      </c>
      <c r="M2883" s="357">
        <v>13.05</v>
      </c>
      <c r="N2883" s="357">
        <v>6.4688928679108288</v>
      </c>
      <c r="O2883" s="357" t="s">
        <v>135</v>
      </c>
      <c r="P2883" s="392"/>
      <c r="Q2883" s="392"/>
      <c r="R2883" s="392">
        <v>12</v>
      </c>
    </row>
    <row r="2884" spans="1:18" ht="48">
      <c r="A2884" s="388">
        <v>68.540000000000006</v>
      </c>
      <c r="B2884" s="383" t="s">
        <v>5138</v>
      </c>
      <c r="C2884" s="389" t="s">
        <v>5139</v>
      </c>
      <c r="D2884" s="390">
        <v>4567.0200000000004</v>
      </c>
      <c r="E2884" s="390">
        <v>67.099999999999994</v>
      </c>
      <c r="F2884" s="390">
        <v>4499.92</v>
      </c>
      <c r="G2884" s="390"/>
      <c r="H2884" s="391">
        <v>29958.23</v>
      </c>
      <c r="I2884" s="391">
        <v>875.74</v>
      </c>
      <c r="J2884" s="391">
        <v>29082.49</v>
      </c>
      <c r="K2884" s="391"/>
      <c r="L2884" s="357">
        <v>6.5596888123984565</v>
      </c>
      <c r="M2884" s="357">
        <v>13.05</v>
      </c>
      <c r="N2884" s="357">
        <v>6.4628904513858023</v>
      </c>
      <c r="O2884" s="357" t="s">
        <v>135</v>
      </c>
      <c r="P2884" s="392"/>
      <c r="Q2884" s="392"/>
      <c r="R2884" s="392">
        <v>12</v>
      </c>
    </row>
    <row r="2885" spans="1:18" ht="48">
      <c r="A2885" s="388">
        <v>68.55</v>
      </c>
      <c r="B2885" s="383" t="s">
        <v>5140</v>
      </c>
      <c r="C2885" s="389" t="s">
        <v>5141</v>
      </c>
      <c r="D2885" s="390">
        <v>6244.21</v>
      </c>
      <c r="E2885" s="390">
        <v>91.99</v>
      </c>
      <c r="F2885" s="390">
        <v>6152.22</v>
      </c>
      <c r="G2885" s="390"/>
      <c r="H2885" s="391">
        <v>40935.83</v>
      </c>
      <c r="I2885" s="391">
        <v>1200.49</v>
      </c>
      <c r="J2885" s="391">
        <v>39735.339999999997</v>
      </c>
      <c r="K2885" s="391"/>
      <c r="L2885" s="357">
        <v>6.5558060987699003</v>
      </c>
      <c r="M2885" s="357">
        <v>13.05</v>
      </c>
      <c r="N2885" s="357">
        <v>6.4586994613326567</v>
      </c>
      <c r="O2885" s="357" t="s">
        <v>135</v>
      </c>
      <c r="P2885" s="392"/>
      <c r="Q2885" s="392"/>
      <c r="R2885" s="392">
        <v>12</v>
      </c>
    </row>
    <row r="2886" spans="1:18" ht="48">
      <c r="A2886" s="388">
        <v>68.56</v>
      </c>
      <c r="B2886" s="383" t="s">
        <v>5142</v>
      </c>
      <c r="C2886" s="389" t="s">
        <v>5143</v>
      </c>
      <c r="D2886" s="390">
        <v>9006.99</v>
      </c>
      <c r="E2886" s="390">
        <v>133</v>
      </c>
      <c r="F2886" s="390">
        <v>8873.99</v>
      </c>
      <c r="G2886" s="390"/>
      <c r="H2886" s="391">
        <v>59019.02</v>
      </c>
      <c r="I2886" s="391">
        <v>1735.66</v>
      </c>
      <c r="J2886" s="391">
        <v>57283.360000000001</v>
      </c>
      <c r="K2886" s="391"/>
      <c r="L2886" s="357">
        <v>6.552579718640744</v>
      </c>
      <c r="M2886" s="357">
        <v>13.05</v>
      </c>
      <c r="N2886" s="357">
        <v>6.4551977182755449</v>
      </c>
      <c r="O2886" s="357" t="s">
        <v>135</v>
      </c>
      <c r="P2886" s="392"/>
      <c r="Q2886" s="392"/>
      <c r="R2886" s="392">
        <v>12</v>
      </c>
    </row>
    <row r="2887" spans="1:18" ht="48">
      <c r="A2887" s="388">
        <v>68.569999999999993</v>
      </c>
      <c r="B2887" s="383" t="s">
        <v>5144</v>
      </c>
      <c r="C2887" s="389" t="s">
        <v>5145</v>
      </c>
      <c r="D2887" s="390">
        <v>12473.02</v>
      </c>
      <c r="E2887" s="390">
        <v>184.44</v>
      </c>
      <c r="F2887" s="390">
        <v>12288.58</v>
      </c>
      <c r="G2887" s="390"/>
      <c r="H2887" s="391">
        <v>81705.210000000006</v>
      </c>
      <c r="I2887" s="391">
        <v>2407.06</v>
      </c>
      <c r="J2887" s="391">
        <v>79298.149999999994</v>
      </c>
      <c r="K2887" s="391"/>
      <c r="L2887" s="357">
        <v>6.5505555190322795</v>
      </c>
      <c r="M2887" s="357">
        <v>13.05</v>
      </c>
      <c r="N2887" s="357">
        <v>6.4529953827049171</v>
      </c>
      <c r="O2887" s="357" t="s">
        <v>135</v>
      </c>
      <c r="P2887" s="392"/>
      <c r="Q2887" s="392"/>
      <c r="R2887" s="392">
        <v>12</v>
      </c>
    </row>
    <row r="2888" spans="1:18" ht="48">
      <c r="A2888" s="388">
        <v>68.58</v>
      </c>
      <c r="B2888" s="383" t="s">
        <v>5146</v>
      </c>
      <c r="C2888" s="389" t="s">
        <v>5147</v>
      </c>
      <c r="D2888" s="390">
        <v>1038.8699999999999</v>
      </c>
      <c r="E2888" s="390">
        <v>12.4</v>
      </c>
      <c r="F2888" s="390">
        <v>1026.47</v>
      </c>
      <c r="G2888" s="390"/>
      <c r="H2888" s="391">
        <v>6794.95</v>
      </c>
      <c r="I2888" s="391">
        <v>161.77000000000001</v>
      </c>
      <c r="J2888" s="391">
        <v>6633.18</v>
      </c>
      <c r="K2888" s="391"/>
      <c r="L2888" s="357">
        <v>6.5407125049332455</v>
      </c>
      <c r="M2888" s="357">
        <v>13.05</v>
      </c>
      <c r="N2888" s="357">
        <v>6.4621274854598774</v>
      </c>
      <c r="O2888" s="357" t="s">
        <v>135</v>
      </c>
      <c r="P2888" s="392"/>
      <c r="Q2888" s="392"/>
      <c r="R2888" s="392">
        <v>12</v>
      </c>
    </row>
    <row r="2889" spans="1:18" ht="48">
      <c r="A2889" s="388">
        <v>68.59</v>
      </c>
      <c r="B2889" s="383" t="s">
        <v>5148</v>
      </c>
      <c r="C2889" s="389" t="s">
        <v>5149</v>
      </c>
      <c r="D2889" s="390">
        <v>1776.65</v>
      </c>
      <c r="E2889" s="390">
        <v>21.62</v>
      </c>
      <c r="F2889" s="390">
        <v>1755.03</v>
      </c>
      <c r="G2889" s="390"/>
      <c r="H2889" s="391">
        <v>11571.54</v>
      </c>
      <c r="I2889" s="391">
        <v>282.18</v>
      </c>
      <c r="J2889" s="391">
        <v>11289.36</v>
      </c>
      <c r="K2889" s="391"/>
      <c r="L2889" s="357">
        <v>6.5131230124109987</v>
      </c>
      <c r="M2889" s="357">
        <v>13.05</v>
      </c>
      <c r="N2889" s="357">
        <v>6.4325738021572283</v>
      </c>
      <c r="O2889" s="357" t="s">
        <v>135</v>
      </c>
      <c r="P2889" s="392"/>
      <c r="Q2889" s="392"/>
      <c r="R2889" s="392">
        <v>12</v>
      </c>
    </row>
    <row r="2890" spans="1:18" ht="48">
      <c r="A2890" s="388">
        <v>68.599999999999994</v>
      </c>
      <c r="B2890" s="383" t="s">
        <v>5150</v>
      </c>
      <c r="C2890" s="389" t="s">
        <v>5151</v>
      </c>
      <c r="D2890" s="390">
        <v>2635.14</v>
      </c>
      <c r="E2890" s="390">
        <v>32.340000000000003</v>
      </c>
      <c r="F2890" s="390">
        <v>2602.8000000000002</v>
      </c>
      <c r="G2890" s="390"/>
      <c r="H2890" s="391">
        <v>17129.650000000001</v>
      </c>
      <c r="I2890" s="391">
        <v>422.06</v>
      </c>
      <c r="J2890" s="391">
        <v>16707.59</v>
      </c>
      <c r="K2890" s="391"/>
      <c r="L2890" s="357">
        <v>6.5004705632338329</v>
      </c>
      <c r="M2890" s="357">
        <v>13.05</v>
      </c>
      <c r="N2890" s="357">
        <v>6.41908329491317</v>
      </c>
      <c r="O2890" s="357" t="s">
        <v>135</v>
      </c>
      <c r="P2890" s="392"/>
      <c r="Q2890" s="392"/>
      <c r="R2890" s="392">
        <v>12</v>
      </c>
    </row>
    <row r="2891" spans="1:18" ht="48">
      <c r="A2891" s="388">
        <v>68.61</v>
      </c>
      <c r="B2891" s="383" t="s">
        <v>5152</v>
      </c>
      <c r="C2891" s="389" t="s">
        <v>5153</v>
      </c>
      <c r="D2891" s="390">
        <v>3805.57</v>
      </c>
      <c r="E2891" s="390">
        <v>46.97</v>
      </c>
      <c r="F2891" s="390">
        <v>3758.6</v>
      </c>
      <c r="G2891" s="390"/>
      <c r="H2891" s="391">
        <v>24707.26</v>
      </c>
      <c r="I2891" s="391">
        <v>613.02</v>
      </c>
      <c r="J2891" s="391">
        <v>24094.240000000002</v>
      </c>
      <c r="K2891" s="391"/>
      <c r="L2891" s="357">
        <v>6.4923940434678631</v>
      </c>
      <c r="M2891" s="357">
        <v>13.05</v>
      </c>
      <c r="N2891" s="357">
        <v>6.4104294152077905</v>
      </c>
      <c r="O2891" s="357" t="s">
        <v>135</v>
      </c>
      <c r="P2891" s="392"/>
      <c r="Q2891" s="392"/>
      <c r="R2891" s="392">
        <v>12</v>
      </c>
    </row>
    <row r="2892" spans="1:18" ht="48">
      <c r="A2892" s="388">
        <v>68.62</v>
      </c>
      <c r="B2892" s="383" t="s">
        <v>5154</v>
      </c>
      <c r="C2892" s="389" t="s">
        <v>5155</v>
      </c>
      <c r="D2892" s="390">
        <v>4708.82</v>
      </c>
      <c r="E2892" s="390">
        <v>58.25</v>
      </c>
      <c r="F2892" s="390">
        <v>4650.57</v>
      </c>
      <c r="G2892" s="390"/>
      <c r="H2892" s="391">
        <v>30555.119999999999</v>
      </c>
      <c r="I2892" s="391">
        <v>760.19</v>
      </c>
      <c r="J2892" s="391">
        <v>29794.93</v>
      </c>
      <c r="K2892" s="391"/>
      <c r="L2892" s="357">
        <v>6.4889122964989108</v>
      </c>
      <c r="M2892" s="357">
        <v>13.05</v>
      </c>
      <c r="N2892" s="357">
        <v>6.4067264872908058</v>
      </c>
      <c r="O2892" s="357" t="s">
        <v>135</v>
      </c>
      <c r="P2892" s="392"/>
      <c r="Q2892" s="392"/>
      <c r="R2892" s="392">
        <v>12</v>
      </c>
    </row>
    <row r="2893" spans="1:18" ht="48">
      <c r="A2893" s="388">
        <v>68.63</v>
      </c>
      <c r="B2893" s="383" t="s">
        <v>5156</v>
      </c>
      <c r="C2893" s="389" t="s">
        <v>5157</v>
      </c>
      <c r="D2893" s="390">
        <v>6275.26</v>
      </c>
      <c r="E2893" s="390">
        <v>77.819999999999993</v>
      </c>
      <c r="F2893" s="390">
        <v>6197.44</v>
      </c>
      <c r="G2893" s="390"/>
      <c r="H2893" s="391">
        <v>40696.660000000003</v>
      </c>
      <c r="I2893" s="391">
        <v>1015.61</v>
      </c>
      <c r="J2893" s="391">
        <v>39681.050000000003</v>
      </c>
      <c r="K2893" s="391"/>
      <c r="L2893" s="357">
        <v>6.4852547942236658</v>
      </c>
      <c r="M2893" s="357">
        <v>13.05</v>
      </c>
      <c r="N2893" s="357">
        <v>6.4028130970207062</v>
      </c>
      <c r="O2893" s="357" t="s">
        <v>135</v>
      </c>
      <c r="P2893" s="392"/>
      <c r="Q2893" s="392"/>
      <c r="R2893" s="392">
        <v>12</v>
      </c>
    </row>
    <row r="2894" spans="1:18" ht="48">
      <c r="A2894" s="388">
        <v>68.64</v>
      </c>
      <c r="B2894" s="383" t="s">
        <v>5158</v>
      </c>
      <c r="C2894" s="389" t="s">
        <v>5159</v>
      </c>
      <c r="D2894" s="390">
        <v>7782.03</v>
      </c>
      <c r="E2894" s="390">
        <v>96.65</v>
      </c>
      <c r="F2894" s="390">
        <v>7685.38</v>
      </c>
      <c r="G2894" s="390"/>
      <c r="H2894" s="391">
        <v>50451.85</v>
      </c>
      <c r="I2894" s="391">
        <v>1261.3</v>
      </c>
      <c r="J2894" s="391">
        <v>49190.55</v>
      </c>
      <c r="K2894" s="391"/>
      <c r="L2894" s="357">
        <v>6.48312201315081</v>
      </c>
      <c r="M2894" s="357">
        <v>13.05</v>
      </c>
      <c r="N2894" s="357">
        <v>6.4005358225617996</v>
      </c>
      <c r="O2894" s="357" t="s">
        <v>135</v>
      </c>
      <c r="P2894" s="392"/>
      <c r="Q2894" s="392"/>
      <c r="R2894" s="392">
        <v>12</v>
      </c>
    </row>
    <row r="2895" spans="1:18" ht="48">
      <c r="A2895" s="388">
        <v>68.650000000000006</v>
      </c>
      <c r="B2895" s="383" t="s">
        <v>5160</v>
      </c>
      <c r="C2895" s="389" t="s">
        <v>5161</v>
      </c>
      <c r="D2895" s="390">
        <v>5890.98</v>
      </c>
      <c r="E2895" s="390">
        <v>2757.16</v>
      </c>
      <c r="F2895" s="390">
        <v>2685.51</v>
      </c>
      <c r="G2895" s="390">
        <v>448.31</v>
      </c>
      <c r="H2895" s="391">
        <v>58312.09</v>
      </c>
      <c r="I2895" s="391">
        <v>35980.050000000003</v>
      </c>
      <c r="J2895" s="391">
        <v>20475.27</v>
      </c>
      <c r="K2895" s="391">
        <v>1856.77</v>
      </c>
      <c r="L2895" s="357">
        <v>9.8985381040166498</v>
      </c>
      <c r="M2895" s="357">
        <v>13.05</v>
      </c>
      <c r="N2895" s="357">
        <v>7.6243506819933637</v>
      </c>
      <c r="O2895" s="357">
        <v>4.1417099774709465</v>
      </c>
      <c r="P2895" s="392"/>
      <c r="Q2895" s="392"/>
      <c r="R2895" s="392">
        <v>12</v>
      </c>
    </row>
    <row r="2896" spans="1:18" ht="36">
      <c r="A2896" s="388">
        <v>68.66</v>
      </c>
      <c r="B2896" s="383" t="s">
        <v>5162</v>
      </c>
      <c r="C2896" s="389" t="s">
        <v>5163</v>
      </c>
      <c r="D2896" s="390">
        <v>6834.28</v>
      </c>
      <c r="E2896" s="390">
        <v>2951.62</v>
      </c>
      <c r="F2896" s="390">
        <v>3351.08</v>
      </c>
      <c r="G2896" s="390">
        <v>531.58000000000004</v>
      </c>
      <c r="H2896" s="391">
        <v>65714.289999999994</v>
      </c>
      <c r="I2896" s="391">
        <v>38519.24</v>
      </c>
      <c r="J2896" s="391">
        <v>25131.74</v>
      </c>
      <c r="K2896" s="391">
        <v>2063.31</v>
      </c>
      <c r="L2896" s="357">
        <v>9.6153932821014063</v>
      </c>
      <c r="M2896" s="357">
        <v>13.05</v>
      </c>
      <c r="N2896" s="357">
        <v>7.4995941606884955</v>
      </c>
      <c r="O2896" s="357">
        <v>3.8814665713533238</v>
      </c>
      <c r="P2896" s="392"/>
      <c r="Q2896" s="392"/>
      <c r="R2896" s="392">
        <v>12</v>
      </c>
    </row>
    <row r="2897" spans="1:18" ht="36">
      <c r="A2897" s="393">
        <v>68.67</v>
      </c>
      <c r="B2897" s="394" t="s">
        <v>5164</v>
      </c>
      <c r="C2897" s="395" t="s">
        <v>5165</v>
      </c>
      <c r="D2897" s="396">
        <v>5699.67</v>
      </c>
      <c r="E2897" s="396">
        <v>2176.48</v>
      </c>
      <c r="F2897" s="396">
        <v>2994.94</v>
      </c>
      <c r="G2897" s="396">
        <v>528.25</v>
      </c>
      <c r="H2897" s="397">
        <v>55722.39</v>
      </c>
      <c r="I2897" s="397">
        <v>28403.51</v>
      </c>
      <c r="J2897" s="397">
        <v>25125.75</v>
      </c>
      <c r="K2897" s="397">
        <v>2193.13</v>
      </c>
      <c r="L2897" s="356">
        <v>9.776423898225687</v>
      </c>
      <c r="M2897" s="356">
        <v>13.05</v>
      </c>
      <c r="N2897" s="356">
        <v>8.389400121538328</v>
      </c>
      <c r="O2897" s="356">
        <v>4.1516895409370562</v>
      </c>
      <c r="P2897" s="398"/>
      <c r="Q2897" s="398"/>
      <c r="R2897" s="398">
        <v>12</v>
      </c>
    </row>
    <row r="2898" spans="1:18" ht="12.75">
      <c r="A2898" s="428" t="s">
        <v>5166</v>
      </c>
      <c r="B2898" s="429"/>
      <c r="C2898" s="429"/>
      <c r="D2898" s="429"/>
      <c r="E2898" s="429"/>
      <c r="F2898" s="429"/>
      <c r="G2898" s="429"/>
      <c r="H2898" s="429"/>
      <c r="I2898" s="429"/>
      <c r="J2898" s="429"/>
      <c r="K2898" s="429"/>
      <c r="L2898" s="429"/>
      <c r="M2898" s="429"/>
      <c r="N2898" s="429"/>
      <c r="O2898" s="429"/>
      <c r="P2898" s="429"/>
      <c r="Q2898" s="429"/>
      <c r="R2898" s="429"/>
    </row>
    <row r="2899" spans="1:18" ht="24">
      <c r="A2899" s="388">
        <v>68.680000000000007</v>
      </c>
      <c r="B2899" s="383" t="s">
        <v>5167</v>
      </c>
      <c r="C2899" s="389" t="s">
        <v>5168</v>
      </c>
      <c r="D2899" s="390">
        <v>872.07</v>
      </c>
      <c r="E2899" s="390">
        <v>872.07</v>
      </c>
      <c r="F2899" s="390"/>
      <c r="G2899" s="390"/>
      <c r="H2899" s="391">
        <v>11380.92</v>
      </c>
      <c r="I2899" s="391">
        <v>11380.92</v>
      </c>
      <c r="J2899" s="391"/>
      <c r="K2899" s="391"/>
      <c r="L2899" s="357">
        <v>13.050466132305893</v>
      </c>
      <c r="M2899" s="357">
        <v>13.05</v>
      </c>
      <c r="N2899" s="357" t="s">
        <v>135</v>
      </c>
      <c r="O2899" s="357" t="s">
        <v>135</v>
      </c>
      <c r="P2899" s="392"/>
      <c r="Q2899" s="392"/>
      <c r="R2899" s="392">
        <v>13</v>
      </c>
    </row>
    <row r="2900" spans="1:18" ht="36">
      <c r="A2900" s="393">
        <v>68.69</v>
      </c>
      <c r="B2900" s="394" t="s">
        <v>5169</v>
      </c>
      <c r="C2900" s="395" t="s">
        <v>5170</v>
      </c>
      <c r="D2900" s="396">
        <v>2235.41</v>
      </c>
      <c r="E2900" s="396">
        <v>573.55999999999995</v>
      </c>
      <c r="F2900" s="396">
        <v>1661.85</v>
      </c>
      <c r="G2900" s="396"/>
      <c r="H2900" s="397">
        <v>20523.66</v>
      </c>
      <c r="I2900" s="397">
        <v>7485.12</v>
      </c>
      <c r="J2900" s="397">
        <v>13038.54</v>
      </c>
      <c r="K2900" s="397"/>
      <c r="L2900" s="356">
        <v>9.181161397685436</v>
      </c>
      <c r="M2900" s="356">
        <v>13.05</v>
      </c>
      <c r="N2900" s="356">
        <v>7.8457983572524608</v>
      </c>
      <c r="O2900" s="356" t="s">
        <v>135</v>
      </c>
      <c r="P2900" s="398"/>
      <c r="Q2900" s="398"/>
      <c r="R2900" s="398">
        <v>13</v>
      </c>
    </row>
    <row r="2901" spans="1:18" ht="12.75">
      <c r="A2901" s="428" t="s">
        <v>5171</v>
      </c>
      <c r="B2901" s="429"/>
      <c r="C2901" s="429"/>
      <c r="D2901" s="429"/>
      <c r="E2901" s="429"/>
      <c r="F2901" s="429"/>
      <c r="G2901" s="429"/>
      <c r="H2901" s="429"/>
      <c r="I2901" s="429"/>
      <c r="J2901" s="429"/>
      <c r="K2901" s="429"/>
      <c r="L2901" s="429"/>
      <c r="M2901" s="429"/>
      <c r="N2901" s="429"/>
      <c r="O2901" s="429"/>
      <c r="P2901" s="429"/>
      <c r="Q2901" s="429"/>
      <c r="R2901" s="429"/>
    </row>
    <row r="2902" spans="1:18" ht="24">
      <c r="A2902" s="388">
        <v>68.7</v>
      </c>
      <c r="B2902" s="383" t="s">
        <v>5172</v>
      </c>
      <c r="C2902" s="389" t="s">
        <v>5173</v>
      </c>
      <c r="D2902" s="390">
        <v>1699.43</v>
      </c>
      <c r="E2902" s="390">
        <v>704.44</v>
      </c>
      <c r="F2902" s="390">
        <v>994.99</v>
      </c>
      <c r="G2902" s="390"/>
      <c r="H2902" s="391">
        <v>16999.77</v>
      </c>
      <c r="I2902" s="391">
        <v>9193.26</v>
      </c>
      <c r="J2902" s="391">
        <v>7806.51</v>
      </c>
      <c r="K2902" s="391"/>
      <c r="L2902" s="357">
        <v>10.003218726278812</v>
      </c>
      <c r="M2902" s="357">
        <v>13.05</v>
      </c>
      <c r="N2902" s="357">
        <v>7.8458175459049837</v>
      </c>
      <c r="O2902" s="357" t="s">
        <v>135</v>
      </c>
      <c r="P2902" s="392"/>
      <c r="Q2902" s="392"/>
      <c r="R2902" s="392">
        <v>14</v>
      </c>
    </row>
    <row r="2903" spans="1:18" ht="24">
      <c r="A2903" s="393">
        <v>68.709999999999994</v>
      </c>
      <c r="B2903" s="394" t="s">
        <v>5174</v>
      </c>
      <c r="C2903" s="395" t="s">
        <v>5175</v>
      </c>
      <c r="D2903" s="396">
        <v>1200.06</v>
      </c>
      <c r="E2903" s="396">
        <v>522.62</v>
      </c>
      <c r="F2903" s="396">
        <v>677.44</v>
      </c>
      <c r="G2903" s="396"/>
      <c r="H2903" s="397">
        <v>12135.39</v>
      </c>
      <c r="I2903" s="397">
        <v>6820.32</v>
      </c>
      <c r="J2903" s="397">
        <v>5315.07</v>
      </c>
      <c r="K2903" s="397"/>
      <c r="L2903" s="356">
        <v>10.112319384030798</v>
      </c>
      <c r="M2903" s="356">
        <v>13.05</v>
      </c>
      <c r="N2903" s="356">
        <v>7.8458166036844581</v>
      </c>
      <c r="O2903" s="356" t="s">
        <v>135</v>
      </c>
      <c r="P2903" s="398"/>
      <c r="Q2903" s="398"/>
      <c r="R2903" s="398">
        <v>14</v>
      </c>
    </row>
    <row r="2904" spans="1:18" ht="12.75">
      <c r="A2904" s="428" t="s">
        <v>5176</v>
      </c>
      <c r="B2904" s="429"/>
      <c r="C2904" s="429"/>
      <c r="D2904" s="429"/>
      <c r="E2904" s="429"/>
      <c r="F2904" s="429"/>
      <c r="G2904" s="429"/>
      <c r="H2904" s="429"/>
      <c r="I2904" s="429"/>
      <c r="J2904" s="429"/>
      <c r="K2904" s="429"/>
      <c r="L2904" s="429"/>
      <c r="M2904" s="429"/>
      <c r="N2904" s="429"/>
      <c r="O2904" s="429"/>
      <c r="P2904" s="429"/>
      <c r="Q2904" s="429"/>
      <c r="R2904" s="429"/>
    </row>
    <row r="2905" spans="1:18" ht="36">
      <c r="A2905" s="388">
        <v>68.72</v>
      </c>
      <c r="B2905" s="383" t="s">
        <v>5177</v>
      </c>
      <c r="C2905" s="389" t="s">
        <v>5178</v>
      </c>
      <c r="D2905" s="390">
        <v>8036.79</v>
      </c>
      <c r="E2905" s="390">
        <v>993.99</v>
      </c>
      <c r="F2905" s="390">
        <v>636.89</v>
      </c>
      <c r="G2905" s="390">
        <v>6405.91</v>
      </c>
      <c r="H2905" s="391">
        <v>51239.38</v>
      </c>
      <c r="I2905" s="391">
        <v>12971.96</v>
      </c>
      <c r="J2905" s="391">
        <v>5112</v>
      </c>
      <c r="K2905" s="391">
        <v>33155.42</v>
      </c>
      <c r="L2905" s="357">
        <v>6.3756026970967259</v>
      </c>
      <c r="M2905" s="357">
        <v>13.05</v>
      </c>
      <c r="N2905" s="357">
        <v>8.026503791863588</v>
      </c>
      <c r="O2905" s="357">
        <v>5.1757548888448319</v>
      </c>
      <c r="P2905" s="392"/>
      <c r="Q2905" s="392"/>
      <c r="R2905" s="392">
        <v>15</v>
      </c>
    </row>
    <row r="2906" spans="1:18" ht="36">
      <c r="A2906" s="388">
        <v>68.73</v>
      </c>
      <c r="B2906" s="383" t="s">
        <v>5179</v>
      </c>
      <c r="C2906" s="389" t="s">
        <v>5180</v>
      </c>
      <c r="D2906" s="390">
        <v>7661.44</v>
      </c>
      <c r="E2906" s="390">
        <v>618.64</v>
      </c>
      <c r="F2906" s="390">
        <v>636.89</v>
      </c>
      <c r="G2906" s="390">
        <v>6405.91</v>
      </c>
      <c r="H2906" s="391">
        <v>46340.88</v>
      </c>
      <c r="I2906" s="391">
        <v>8073.46</v>
      </c>
      <c r="J2906" s="391">
        <v>5112</v>
      </c>
      <c r="K2906" s="391">
        <v>33155.42</v>
      </c>
      <c r="L2906" s="357">
        <v>6.0485861665692093</v>
      </c>
      <c r="M2906" s="357">
        <v>13.05</v>
      </c>
      <c r="N2906" s="357">
        <v>8.026503791863588</v>
      </c>
      <c r="O2906" s="357">
        <v>5.1757548888448319</v>
      </c>
      <c r="P2906" s="392"/>
      <c r="Q2906" s="392"/>
      <c r="R2906" s="392">
        <v>15</v>
      </c>
    </row>
    <row r="2907" spans="1:18" ht="36">
      <c r="A2907" s="388">
        <v>68.739999999999995</v>
      </c>
      <c r="B2907" s="383" t="s">
        <v>5181</v>
      </c>
      <c r="C2907" s="389" t="s">
        <v>5182</v>
      </c>
      <c r="D2907" s="390">
        <v>10964.78</v>
      </c>
      <c r="E2907" s="390">
        <v>1288.9100000000001</v>
      </c>
      <c r="F2907" s="390">
        <v>774.03</v>
      </c>
      <c r="G2907" s="390">
        <v>8901.84</v>
      </c>
      <c r="H2907" s="391">
        <v>68988</v>
      </c>
      <c r="I2907" s="391">
        <v>16820.78</v>
      </c>
      <c r="J2907" s="391">
        <v>6186.3</v>
      </c>
      <c r="K2907" s="391">
        <v>45980.92</v>
      </c>
      <c r="L2907" s="357">
        <v>6.2917815040520644</v>
      </c>
      <c r="M2907" s="357">
        <v>13.05</v>
      </c>
      <c r="N2907" s="357">
        <v>7.992325878841906</v>
      </c>
      <c r="O2907" s="357">
        <v>5.1653276176610676</v>
      </c>
      <c r="P2907" s="392"/>
      <c r="Q2907" s="392"/>
      <c r="R2907" s="392">
        <v>15</v>
      </c>
    </row>
    <row r="2908" spans="1:18" ht="36">
      <c r="A2908" s="388">
        <v>68.75</v>
      </c>
      <c r="B2908" s="383" t="s">
        <v>5183</v>
      </c>
      <c r="C2908" s="389" t="s">
        <v>5184</v>
      </c>
      <c r="D2908" s="390">
        <v>10469.280000000001</v>
      </c>
      <c r="E2908" s="390">
        <v>793.41</v>
      </c>
      <c r="F2908" s="390">
        <v>774.03</v>
      </c>
      <c r="G2908" s="390">
        <v>8901.84</v>
      </c>
      <c r="H2908" s="391">
        <v>62521.46</v>
      </c>
      <c r="I2908" s="391">
        <v>10354.24</v>
      </c>
      <c r="J2908" s="391">
        <v>6186.3</v>
      </c>
      <c r="K2908" s="391">
        <v>45980.92</v>
      </c>
      <c r="L2908" s="357">
        <v>5.9718968257607017</v>
      </c>
      <c r="M2908" s="357">
        <v>13.05</v>
      </c>
      <c r="N2908" s="357">
        <v>7.992325878841906</v>
      </c>
      <c r="O2908" s="357">
        <v>5.1653276176610676</v>
      </c>
      <c r="P2908" s="392"/>
      <c r="Q2908" s="392"/>
      <c r="R2908" s="392">
        <v>15</v>
      </c>
    </row>
    <row r="2909" spans="1:18" ht="36">
      <c r="A2909" s="388">
        <v>68.760000000000005</v>
      </c>
      <c r="B2909" s="383" t="s">
        <v>5185</v>
      </c>
      <c r="C2909" s="389" t="s">
        <v>5186</v>
      </c>
      <c r="D2909" s="390">
        <v>13093.24</v>
      </c>
      <c r="E2909" s="390">
        <v>1716.9</v>
      </c>
      <c r="F2909" s="390">
        <v>1132.47</v>
      </c>
      <c r="G2909" s="390">
        <v>10243.870000000001</v>
      </c>
      <c r="H2909" s="391">
        <v>84583.02</v>
      </c>
      <c r="I2909" s="391">
        <v>22406.11</v>
      </c>
      <c r="J2909" s="391">
        <v>9113.93</v>
      </c>
      <c r="K2909" s="391">
        <v>53062.98</v>
      </c>
      <c r="L2909" s="357">
        <v>6.4600526683998769</v>
      </c>
      <c r="M2909" s="357">
        <v>13.05</v>
      </c>
      <c r="N2909" s="357">
        <v>8.0478334966930696</v>
      </c>
      <c r="O2909" s="357">
        <v>5.1799739746794913</v>
      </c>
      <c r="P2909" s="392"/>
      <c r="Q2909" s="392"/>
      <c r="R2909" s="392">
        <v>15</v>
      </c>
    </row>
    <row r="2910" spans="1:18" ht="36">
      <c r="A2910" s="393">
        <v>68.77</v>
      </c>
      <c r="B2910" s="394" t="s">
        <v>5187</v>
      </c>
      <c r="C2910" s="395" t="s">
        <v>5188</v>
      </c>
      <c r="D2910" s="396">
        <v>12495.35</v>
      </c>
      <c r="E2910" s="396">
        <v>1113.1500000000001</v>
      </c>
      <c r="F2910" s="396">
        <v>1138.33</v>
      </c>
      <c r="G2910" s="396">
        <v>10243.870000000001</v>
      </c>
      <c r="H2910" s="397">
        <v>76752.350000000006</v>
      </c>
      <c r="I2910" s="397">
        <v>14527.04</v>
      </c>
      <c r="J2910" s="397">
        <v>9162.33</v>
      </c>
      <c r="K2910" s="397">
        <v>53062.98</v>
      </c>
      <c r="L2910" s="356">
        <v>6.1424729999559835</v>
      </c>
      <c r="M2910" s="356">
        <v>13.05</v>
      </c>
      <c r="N2910" s="356">
        <v>8.0489225444291197</v>
      </c>
      <c r="O2910" s="356">
        <v>5.1799739746794913</v>
      </c>
      <c r="P2910" s="398"/>
      <c r="Q2910" s="398"/>
      <c r="R2910" s="398">
        <v>15</v>
      </c>
    </row>
    <row r="2911" spans="1:18" ht="12.75">
      <c r="A2911" s="428" t="s">
        <v>5189</v>
      </c>
      <c r="B2911" s="429"/>
      <c r="C2911" s="429"/>
      <c r="D2911" s="429"/>
      <c r="E2911" s="429"/>
      <c r="F2911" s="429"/>
      <c r="G2911" s="429"/>
      <c r="H2911" s="429"/>
      <c r="I2911" s="429"/>
      <c r="J2911" s="429"/>
      <c r="K2911" s="429"/>
      <c r="L2911" s="429"/>
      <c r="M2911" s="429"/>
      <c r="N2911" s="429"/>
      <c r="O2911" s="429"/>
      <c r="P2911" s="429"/>
      <c r="Q2911" s="429"/>
      <c r="R2911" s="429"/>
    </row>
    <row r="2912" spans="1:18">
      <c r="A2912" s="393">
        <v>68.78</v>
      </c>
      <c r="B2912" s="394" t="s">
        <v>5190</v>
      </c>
      <c r="C2912" s="395" t="s">
        <v>5191</v>
      </c>
      <c r="D2912" s="396">
        <v>9919.64</v>
      </c>
      <c r="E2912" s="396">
        <v>1101.24</v>
      </c>
      <c r="F2912" s="396">
        <v>570.09</v>
      </c>
      <c r="G2912" s="396">
        <v>8248.31</v>
      </c>
      <c r="H2912" s="397">
        <v>74193.36</v>
      </c>
      <c r="I2912" s="397">
        <v>14370.84</v>
      </c>
      <c r="J2912" s="397">
        <v>4532.01</v>
      </c>
      <c r="K2912" s="397">
        <v>55290.51</v>
      </c>
      <c r="L2912" s="356">
        <v>7.4794407861575625</v>
      </c>
      <c r="M2912" s="356">
        <v>13.05</v>
      </c>
      <c r="N2912" s="356">
        <v>7.9496395306004315</v>
      </c>
      <c r="O2912" s="356">
        <v>6.70325315125159</v>
      </c>
      <c r="P2912" s="398"/>
      <c r="Q2912" s="398"/>
      <c r="R2912" s="398">
        <v>16</v>
      </c>
    </row>
    <row r="2913" spans="1:18" ht="12.75">
      <c r="A2913" s="428" t="s">
        <v>5192</v>
      </c>
      <c r="B2913" s="429"/>
      <c r="C2913" s="429"/>
      <c r="D2913" s="429"/>
      <c r="E2913" s="429"/>
      <c r="F2913" s="429"/>
      <c r="G2913" s="429"/>
      <c r="H2913" s="429"/>
      <c r="I2913" s="429"/>
      <c r="J2913" s="429"/>
      <c r="K2913" s="429"/>
      <c r="L2913" s="429"/>
      <c r="M2913" s="429"/>
      <c r="N2913" s="429"/>
      <c r="O2913" s="429"/>
      <c r="P2913" s="429"/>
      <c r="Q2913" s="429"/>
      <c r="R2913" s="429"/>
    </row>
    <row r="2914" spans="1:18">
      <c r="A2914" s="393">
        <v>68.790000000000006</v>
      </c>
      <c r="B2914" s="394" t="s">
        <v>5193</v>
      </c>
      <c r="C2914" s="395" t="s">
        <v>5194</v>
      </c>
      <c r="D2914" s="396">
        <v>1612.57</v>
      </c>
      <c r="E2914" s="396">
        <v>750.71</v>
      </c>
      <c r="F2914" s="396">
        <v>803.76</v>
      </c>
      <c r="G2914" s="396">
        <v>58.1</v>
      </c>
      <c r="H2914" s="397">
        <v>16568.669999999998</v>
      </c>
      <c r="I2914" s="397">
        <v>9797</v>
      </c>
      <c r="J2914" s="397">
        <v>6391.48</v>
      </c>
      <c r="K2914" s="397">
        <v>380.19</v>
      </c>
      <c r="L2914" s="356">
        <v>10.274698152638335</v>
      </c>
      <c r="M2914" s="356">
        <v>13.05</v>
      </c>
      <c r="N2914" s="356">
        <v>7.9519757141435248</v>
      </c>
      <c r="O2914" s="356">
        <v>6.5437177280550776</v>
      </c>
      <c r="P2914" s="398"/>
      <c r="Q2914" s="398"/>
      <c r="R2914" s="398">
        <v>17</v>
      </c>
    </row>
    <row r="2915" spans="1:18" ht="12.75">
      <c r="A2915" s="428" t="s">
        <v>5195</v>
      </c>
      <c r="B2915" s="429"/>
      <c r="C2915" s="429"/>
      <c r="D2915" s="429"/>
      <c r="E2915" s="429"/>
      <c r="F2915" s="429"/>
      <c r="G2915" s="429"/>
      <c r="H2915" s="429"/>
      <c r="I2915" s="429"/>
      <c r="J2915" s="429"/>
      <c r="K2915" s="429"/>
      <c r="L2915" s="429"/>
      <c r="M2915" s="429"/>
      <c r="N2915" s="429"/>
      <c r="O2915" s="429"/>
      <c r="P2915" s="429"/>
      <c r="Q2915" s="429"/>
      <c r="R2915" s="429"/>
    </row>
    <row r="2916" spans="1:18" ht="24">
      <c r="A2916" s="393">
        <v>68.8</v>
      </c>
      <c r="B2916" s="394" t="s">
        <v>5196</v>
      </c>
      <c r="C2916" s="395" t="s">
        <v>5197</v>
      </c>
      <c r="D2916" s="396">
        <v>7.28</v>
      </c>
      <c r="E2916" s="396">
        <v>1.47</v>
      </c>
      <c r="F2916" s="396"/>
      <c r="G2916" s="396">
        <v>5.81</v>
      </c>
      <c r="H2916" s="397">
        <v>57.17</v>
      </c>
      <c r="I2916" s="397">
        <v>19.149999999999999</v>
      </c>
      <c r="J2916" s="397"/>
      <c r="K2916" s="397">
        <v>38.020000000000003</v>
      </c>
      <c r="L2916" s="356">
        <v>7.8530219780219781</v>
      </c>
      <c r="M2916" s="356">
        <v>13.05</v>
      </c>
      <c r="N2916" s="356" t="s">
        <v>135</v>
      </c>
      <c r="O2916" s="356">
        <v>6.5438898450946654</v>
      </c>
      <c r="P2916" s="398"/>
      <c r="Q2916" s="398"/>
      <c r="R2916" s="398">
        <v>18</v>
      </c>
    </row>
    <row r="2917" spans="1:18" ht="12.75">
      <c r="A2917" s="428" t="s">
        <v>5198</v>
      </c>
      <c r="B2917" s="429"/>
      <c r="C2917" s="429"/>
      <c r="D2917" s="429"/>
      <c r="E2917" s="429"/>
      <c r="F2917" s="429"/>
      <c r="G2917" s="429"/>
      <c r="H2917" s="429"/>
      <c r="I2917" s="429"/>
      <c r="J2917" s="429"/>
      <c r="K2917" s="429"/>
      <c r="L2917" s="429"/>
      <c r="M2917" s="429"/>
      <c r="N2917" s="429"/>
      <c r="O2917" s="429"/>
      <c r="P2917" s="429"/>
      <c r="Q2917" s="429"/>
      <c r="R2917" s="429"/>
    </row>
    <row r="2918" spans="1:18" ht="36">
      <c r="A2918" s="393">
        <v>68.81</v>
      </c>
      <c r="B2918" s="394" t="s">
        <v>5199</v>
      </c>
      <c r="C2918" s="395" t="s">
        <v>5200</v>
      </c>
      <c r="D2918" s="396">
        <v>329.79</v>
      </c>
      <c r="E2918" s="396">
        <v>71.48</v>
      </c>
      <c r="F2918" s="396">
        <v>101.77</v>
      </c>
      <c r="G2918" s="396">
        <v>156.54</v>
      </c>
      <c r="H2918" s="397">
        <v>3099.96</v>
      </c>
      <c r="I2918" s="397">
        <v>932.84</v>
      </c>
      <c r="J2918" s="397">
        <v>827.81</v>
      </c>
      <c r="K2918" s="397">
        <v>1339.31</v>
      </c>
      <c r="L2918" s="356">
        <v>9.3997998726462288</v>
      </c>
      <c r="M2918" s="356">
        <v>13.05</v>
      </c>
      <c r="N2918" s="356">
        <v>8.1341259703252433</v>
      </c>
      <c r="O2918" s="356">
        <v>8.5557046122396834</v>
      </c>
      <c r="P2918" s="398"/>
      <c r="Q2918" s="398"/>
      <c r="R2918" s="398">
        <v>19</v>
      </c>
    </row>
    <row r="2919" spans="1:18" ht="12.75">
      <c r="A2919" s="428" t="s">
        <v>5201</v>
      </c>
      <c r="B2919" s="429"/>
      <c r="C2919" s="429"/>
      <c r="D2919" s="429"/>
      <c r="E2919" s="429"/>
      <c r="F2919" s="429"/>
      <c r="G2919" s="429"/>
      <c r="H2919" s="429"/>
      <c r="I2919" s="429"/>
      <c r="J2919" s="429"/>
      <c r="K2919" s="429"/>
      <c r="L2919" s="429"/>
      <c r="M2919" s="429"/>
      <c r="N2919" s="429"/>
      <c r="O2919" s="429"/>
      <c r="P2919" s="429"/>
      <c r="Q2919" s="429"/>
      <c r="R2919" s="429"/>
    </row>
    <row r="2920" spans="1:18" ht="24">
      <c r="A2920" s="393">
        <v>68.819999999999993</v>
      </c>
      <c r="B2920" s="394" t="s">
        <v>5202</v>
      </c>
      <c r="C2920" s="395" t="s">
        <v>5203</v>
      </c>
      <c r="D2920" s="396">
        <v>170.17</v>
      </c>
      <c r="E2920" s="396">
        <v>170.17</v>
      </c>
      <c r="F2920" s="396"/>
      <c r="G2920" s="396"/>
      <c r="H2920" s="397">
        <v>2220.87</v>
      </c>
      <c r="I2920" s="397">
        <v>2220.87</v>
      </c>
      <c r="J2920" s="397"/>
      <c r="K2920" s="397"/>
      <c r="L2920" s="356">
        <v>13.050890286184405</v>
      </c>
      <c r="M2920" s="356">
        <v>13.05</v>
      </c>
      <c r="N2920" s="356" t="s">
        <v>135</v>
      </c>
      <c r="O2920" s="356" t="s">
        <v>135</v>
      </c>
      <c r="P2920" s="398"/>
      <c r="Q2920" s="398"/>
      <c r="R2920" s="398">
        <v>20</v>
      </c>
    </row>
    <row r="2921" spans="1:18" ht="12.75">
      <c r="A2921" s="428" t="s">
        <v>5204</v>
      </c>
      <c r="B2921" s="429"/>
      <c r="C2921" s="429"/>
      <c r="D2921" s="429"/>
      <c r="E2921" s="429"/>
      <c r="F2921" s="429"/>
      <c r="G2921" s="429"/>
      <c r="H2921" s="429"/>
      <c r="I2921" s="429"/>
      <c r="J2921" s="429"/>
      <c r="K2921" s="429"/>
      <c r="L2921" s="429"/>
      <c r="M2921" s="429"/>
      <c r="N2921" s="429"/>
      <c r="O2921" s="429"/>
      <c r="P2921" s="429"/>
      <c r="Q2921" s="429"/>
      <c r="R2921" s="429"/>
    </row>
    <row r="2922" spans="1:18" ht="24">
      <c r="A2922" s="393">
        <v>68.83</v>
      </c>
      <c r="B2922" s="394" t="s">
        <v>5205</v>
      </c>
      <c r="C2922" s="395" t="s">
        <v>5206</v>
      </c>
      <c r="D2922" s="396">
        <v>1429.88</v>
      </c>
      <c r="E2922" s="396">
        <v>1169.72</v>
      </c>
      <c r="F2922" s="396"/>
      <c r="G2922" s="396">
        <v>260.16000000000003</v>
      </c>
      <c r="H2922" s="397">
        <v>17896.060000000001</v>
      </c>
      <c r="I2922" s="397">
        <v>15264.94</v>
      </c>
      <c r="J2922" s="397"/>
      <c r="K2922" s="397">
        <v>2631.12</v>
      </c>
      <c r="L2922" s="356">
        <v>12.515777547766247</v>
      </c>
      <c r="M2922" s="356">
        <v>13.05</v>
      </c>
      <c r="N2922" s="356" t="s">
        <v>135</v>
      </c>
      <c r="O2922" s="356">
        <v>10.113468634686345</v>
      </c>
      <c r="P2922" s="398"/>
      <c r="Q2922" s="398"/>
      <c r="R2922" s="398">
        <v>21</v>
      </c>
    </row>
    <row r="2923" spans="1:18" ht="12.75">
      <c r="A2923" s="428" t="s">
        <v>5207</v>
      </c>
      <c r="B2923" s="429"/>
      <c r="C2923" s="429"/>
      <c r="D2923" s="429"/>
      <c r="E2923" s="429"/>
      <c r="F2923" s="429"/>
      <c r="G2923" s="429"/>
      <c r="H2923" s="429"/>
      <c r="I2923" s="429"/>
      <c r="J2923" s="429"/>
      <c r="K2923" s="429"/>
      <c r="L2923" s="429"/>
      <c r="M2923" s="429"/>
      <c r="N2923" s="429"/>
      <c r="O2923" s="429"/>
      <c r="P2923" s="429"/>
      <c r="Q2923" s="429"/>
      <c r="R2923" s="429"/>
    </row>
    <row r="2924" spans="1:18" ht="36">
      <c r="A2924" s="388">
        <v>68.84</v>
      </c>
      <c r="B2924" s="383" t="s">
        <v>5208</v>
      </c>
      <c r="C2924" s="389" t="s">
        <v>5209</v>
      </c>
      <c r="D2924" s="390">
        <v>8.2200000000000006</v>
      </c>
      <c r="E2924" s="390">
        <v>8.2200000000000006</v>
      </c>
      <c r="F2924" s="390"/>
      <c r="G2924" s="390"/>
      <c r="H2924" s="391">
        <v>107.23</v>
      </c>
      <c r="I2924" s="391">
        <v>107.23</v>
      </c>
      <c r="J2924" s="391"/>
      <c r="K2924" s="391"/>
      <c r="L2924" s="357">
        <v>13.045012165450121</v>
      </c>
      <c r="M2924" s="357">
        <v>13.05</v>
      </c>
      <c r="N2924" s="357" t="s">
        <v>135</v>
      </c>
      <c r="O2924" s="357" t="s">
        <v>135</v>
      </c>
      <c r="P2924" s="392"/>
      <c r="Q2924" s="392"/>
      <c r="R2924" s="392">
        <v>22</v>
      </c>
    </row>
    <row r="2925" spans="1:18" ht="48">
      <c r="A2925" s="393">
        <v>68.849999999999994</v>
      </c>
      <c r="B2925" s="394" t="s">
        <v>5210</v>
      </c>
      <c r="C2925" s="395" t="s">
        <v>5211</v>
      </c>
      <c r="D2925" s="396">
        <v>5.6</v>
      </c>
      <c r="E2925" s="396">
        <v>5.6</v>
      </c>
      <c r="F2925" s="396"/>
      <c r="G2925" s="396"/>
      <c r="H2925" s="397">
        <v>73.06</v>
      </c>
      <c r="I2925" s="397">
        <v>73.06</v>
      </c>
      <c r="J2925" s="397"/>
      <c r="K2925" s="397"/>
      <c r="L2925" s="356">
        <v>13.046428571428573</v>
      </c>
      <c r="M2925" s="356">
        <v>13.05</v>
      </c>
      <c r="N2925" s="356" t="s">
        <v>135</v>
      </c>
      <c r="O2925" s="356" t="s">
        <v>135</v>
      </c>
      <c r="P2925" s="398"/>
      <c r="Q2925" s="398"/>
      <c r="R2925" s="398">
        <v>22</v>
      </c>
    </row>
    <row r="2926" spans="1:18" ht="12.75">
      <c r="A2926" s="428" t="s">
        <v>5212</v>
      </c>
      <c r="B2926" s="429"/>
      <c r="C2926" s="429"/>
      <c r="D2926" s="429"/>
      <c r="E2926" s="429"/>
      <c r="F2926" s="429"/>
      <c r="G2926" s="429"/>
      <c r="H2926" s="429"/>
      <c r="I2926" s="429"/>
      <c r="J2926" s="429"/>
      <c r="K2926" s="429"/>
      <c r="L2926" s="429"/>
      <c r="M2926" s="429"/>
      <c r="N2926" s="429"/>
      <c r="O2926" s="429"/>
      <c r="P2926" s="429"/>
      <c r="Q2926" s="429"/>
      <c r="R2926" s="429"/>
    </row>
    <row r="2927" spans="1:18">
      <c r="A2927" s="388">
        <v>68.86</v>
      </c>
      <c r="B2927" s="383" t="s">
        <v>5213</v>
      </c>
      <c r="C2927" s="389" t="s">
        <v>5214</v>
      </c>
      <c r="D2927" s="390">
        <v>25.8</v>
      </c>
      <c r="E2927" s="390">
        <v>19.399999999999999</v>
      </c>
      <c r="F2927" s="390">
        <v>3.96</v>
      </c>
      <c r="G2927" s="390">
        <v>2.44</v>
      </c>
      <c r="H2927" s="391">
        <v>294.94</v>
      </c>
      <c r="I2927" s="391">
        <v>253.2</v>
      </c>
      <c r="J2927" s="391">
        <v>27.59</v>
      </c>
      <c r="K2927" s="391">
        <v>14.15</v>
      </c>
      <c r="L2927" s="357">
        <v>11.431782945736433</v>
      </c>
      <c r="M2927" s="357">
        <v>13.05</v>
      </c>
      <c r="N2927" s="357">
        <v>6.9671717171717171</v>
      </c>
      <c r="O2927" s="357">
        <v>5.7991803278688527</v>
      </c>
      <c r="P2927" s="392"/>
      <c r="Q2927" s="392"/>
      <c r="R2927" s="392">
        <v>23</v>
      </c>
    </row>
    <row r="2928" spans="1:18">
      <c r="A2928" s="393">
        <v>68.87</v>
      </c>
      <c r="B2928" s="394" t="s">
        <v>5215</v>
      </c>
      <c r="C2928" s="395" t="s">
        <v>5216</v>
      </c>
      <c r="D2928" s="396">
        <v>112.19</v>
      </c>
      <c r="E2928" s="396">
        <v>101.67</v>
      </c>
      <c r="F2928" s="396">
        <v>6.86</v>
      </c>
      <c r="G2928" s="396">
        <v>3.66</v>
      </c>
      <c r="H2928" s="397">
        <v>1395.9</v>
      </c>
      <c r="I2928" s="397">
        <v>1326.85</v>
      </c>
      <c r="J2928" s="397">
        <v>47.82</v>
      </c>
      <c r="K2928" s="397">
        <v>21.23</v>
      </c>
      <c r="L2928" s="356">
        <v>12.442285408681702</v>
      </c>
      <c r="M2928" s="356">
        <v>13.05</v>
      </c>
      <c r="N2928" s="356">
        <v>6.9708454810495626</v>
      </c>
      <c r="O2928" s="356">
        <v>5.8005464480874318</v>
      </c>
      <c r="P2928" s="398"/>
      <c r="Q2928" s="398"/>
      <c r="R2928" s="398">
        <v>23</v>
      </c>
    </row>
    <row r="2929" spans="1:18" ht="12.75">
      <c r="A2929" s="428" t="s">
        <v>5217</v>
      </c>
      <c r="B2929" s="429"/>
      <c r="C2929" s="429"/>
      <c r="D2929" s="429"/>
      <c r="E2929" s="429"/>
      <c r="F2929" s="429"/>
      <c r="G2929" s="429"/>
      <c r="H2929" s="429"/>
      <c r="I2929" s="429"/>
      <c r="J2929" s="429"/>
      <c r="K2929" s="429"/>
      <c r="L2929" s="429"/>
      <c r="M2929" s="429"/>
      <c r="N2929" s="429"/>
      <c r="O2929" s="429"/>
      <c r="P2929" s="429"/>
      <c r="Q2929" s="429"/>
      <c r="R2929" s="429"/>
    </row>
    <row r="2930" spans="1:18" ht="24">
      <c r="A2930" s="388">
        <v>68.88</v>
      </c>
      <c r="B2930" s="383" t="s">
        <v>5218</v>
      </c>
      <c r="C2930" s="389" t="s">
        <v>5219</v>
      </c>
      <c r="D2930" s="390">
        <v>33.880000000000003</v>
      </c>
      <c r="E2930" s="390">
        <v>3.41</v>
      </c>
      <c r="F2930" s="390">
        <v>0.79</v>
      </c>
      <c r="G2930" s="390">
        <v>29.68</v>
      </c>
      <c r="H2930" s="391">
        <v>186.88</v>
      </c>
      <c r="I2930" s="391">
        <v>44.44</v>
      </c>
      <c r="J2930" s="391">
        <v>5.52</v>
      </c>
      <c r="K2930" s="391">
        <v>136.91999999999999</v>
      </c>
      <c r="L2930" s="357">
        <v>5.5159386068476968</v>
      </c>
      <c r="M2930" s="357">
        <v>13.05</v>
      </c>
      <c r="N2930" s="357">
        <v>6.9873417721518978</v>
      </c>
      <c r="O2930" s="357">
        <v>4.6132075471698109</v>
      </c>
      <c r="P2930" s="392"/>
      <c r="Q2930" s="392"/>
      <c r="R2930" s="392">
        <v>24</v>
      </c>
    </row>
    <row r="2931" spans="1:18" ht="24">
      <c r="A2931" s="393">
        <v>68.89</v>
      </c>
      <c r="B2931" s="394" t="s">
        <v>5220</v>
      </c>
      <c r="C2931" s="395" t="s">
        <v>5221</v>
      </c>
      <c r="D2931" s="396">
        <v>52.35</v>
      </c>
      <c r="E2931" s="396">
        <v>4.2300000000000004</v>
      </c>
      <c r="F2931" s="396">
        <v>0.79</v>
      </c>
      <c r="G2931" s="396">
        <v>47.33</v>
      </c>
      <c r="H2931" s="397">
        <v>249.22</v>
      </c>
      <c r="I2931" s="397">
        <v>55.22</v>
      </c>
      <c r="J2931" s="397">
        <v>5.52</v>
      </c>
      <c r="K2931" s="397">
        <v>188.48</v>
      </c>
      <c r="L2931" s="356">
        <v>4.7606494746895889</v>
      </c>
      <c r="M2931" s="356">
        <v>13.05</v>
      </c>
      <c r="N2931" s="356">
        <v>6.9873417721518978</v>
      </c>
      <c r="O2931" s="356">
        <v>3.9822522712867103</v>
      </c>
      <c r="P2931" s="398"/>
      <c r="Q2931" s="398"/>
      <c r="R2931" s="398">
        <v>24</v>
      </c>
    </row>
    <row r="2932" spans="1:18" ht="12.75">
      <c r="A2932" s="428" t="s">
        <v>5222</v>
      </c>
      <c r="B2932" s="429"/>
      <c r="C2932" s="429"/>
      <c r="D2932" s="429"/>
      <c r="E2932" s="429"/>
      <c r="F2932" s="429"/>
      <c r="G2932" s="429"/>
      <c r="H2932" s="429"/>
      <c r="I2932" s="429"/>
      <c r="J2932" s="429"/>
      <c r="K2932" s="429"/>
      <c r="L2932" s="429"/>
      <c r="M2932" s="429"/>
      <c r="N2932" s="429"/>
      <c r="O2932" s="429"/>
      <c r="P2932" s="429"/>
      <c r="Q2932" s="429"/>
      <c r="R2932" s="429"/>
    </row>
    <row r="2933" spans="1:18" ht="24">
      <c r="A2933" s="388">
        <v>68.900000000000006</v>
      </c>
      <c r="B2933" s="383" t="s">
        <v>5223</v>
      </c>
      <c r="C2933" s="389" t="s">
        <v>5224</v>
      </c>
      <c r="D2933" s="390">
        <v>30.07</v>
      </c>
      <c r="E2933" s="390">
        <v>7.53</v>
      </c>
      <c r="F2933" s="390"/>
      <c r="G2933" s="390">
        <v>22.54</v>
      </c>
      <c r="H2933" s="391">
        <v>152.94</v>
      </c>
      <c r="I2933" s="391">
        <v>98.32</v>
      </c>
      <c r="J2933" s="391"/>
      <c r="K2933" s="391">
        <v>54.62</v>
      </c>
      <c r="L2933" s="357">
        <v>5.0861323578317261</v>
      </c>
      <c r="M2933" s="357">
        <v>13.05</v>
      </c>
      <c r="N2933" s="357" t="s">
        <v>135</v>
      </c>
      <c r="O2933" s="357">
        <v>2.4232475598935226</v>
      </c>
      <c r="P2933" s="392"/>
      <c r="Q2933" s="392"/>
      <c r="R2933" s="392">
        <v>25</v>
      </c>
    </row>
    <row r="2934" spans="1:18" ht="24">
      <c r="A2934" s="388">
        <v>68.91</v>
      </c>
      <c r="B2934" s="383" t="s">
        <v>5225</v>
      </c>
      <c r="C2934" s="389" t="s">
        <v>5226</v>
      </c>
      <c r="D2934" s="390">
        <v>209.59</v>
      </c>
      <c r="E2934" s="390">
        <v>97.83</v>
      </c>
      <c r="F2934" s="390">
        <v>5.86</v>
      </c>
      <c r="G2934" s="390">
        <v>105.9</v>
      </c>
      <c r="H2934" s="391">
        <v>2018.75</v>
      </c>
      <c r="I2934" s="391">
        <v>1276.77</v>
      </c>
      <c r="J2934" s="391">
        <v>30.82</v>
      </c>
      <c r="K2934" s="391">
        <v>711.16</v>
      </c>
      <c r="L2934" s="357">
        <v>9.6319003769263798</v>
      </c>
      <c r="M2934" s="357">
        <v>13.05</v>
      </c>
      <c r="N2934" s="357">
        <v>5.2593856655290097</v>
      </c>
      <c r="O2934" s="357">
        <v>6.7153918791312552</v>
      </c>
      <c r="P2934" s="392"/>
      <c r="Q2934" s="392"/>
      <c r="R2934" s="392">
        <v>25</v>
      </c>
    </row>
    <row r="2935" spans="1:18" ht="24">
      <c r="A2935" s="393">
        <v>68.92</v>
      </c>
      <c r="B2935" s="394" t="s">
        <v>5227</v>
      </c>
      <c r="C2935" s="395" t="s">
        <v>5228</v>
      </c>
      <c r="D2935" s="396">
        <v>18.149999999999999</v>
      </c>
      <c r="E2935" s="396">
        <v>13.11</v>
      </c>
      <c r="F2935" s="396">
        <v>2.54</v>
      </c>
      <c r="G2935" s="396">
        <v>2.5</v>
      </c>
      <c r="H2935" s="397">
        <v>196.5</v>
      </c>
      <c r="I2935" s="397">
        <v>171.04</v>
      </c>
      <c r="J2935" s="397">
        <v>13.68</v>
      </c>
      <c r="K2935" s="397">
        <v>11.78</v>
      </c>
      <c r="L2935" s="356">
        <v>10.826446280991737</v>
      </c>
      <c r="M2935" s="356">
        <v>13.05</v>
      </c>
      <c r="N2935" s="356">
        <v>5.3858267716535435</v>
      </c>
      <c r="O2935" s="356">
        <v>4.7119999999999997</v>
      </c>
      <c r="P2935" s="398"/>
      <c r="Q2935" s="398"/>
      <c r="R2935" s="398">
        <v>25</v>
      </c>
    </row>
    <row r="2936" spans="1:18" ht="12.75">
      <c r="A2936" s="428" t="s">
        <v>5229</v>
      </c>
      <c r="B2936" s="429"/>
      <c r="C2936" s="429"/>
      <c r="D2936" s="429"/>
      <c r="E2936" s="429"/>
      <c r="F2936" s="429"/>
      <c r="G2936" s="429"/>
      <c r="H2936" s="429"/>
      <c r="I2936" s="429"/>
      <c r="J2936" s="429"/>
      <c r="K2936" s="429"/>
      <c r="L2936" s="429"/>
      <c r="M2936" s="429"/>
      <c r="N2936" s="429"/>
      <c r="O2936" s="429"/>
      <c r="P2936" s="429"/>
      <c r="Q2936" s="429"/>
      <c r="R2936" s="429"/>
    </row>
    <row r="2937" spans="1:18" ht="24">
      <c r="A2937" s="388">
        <v>68.930000000000007</v>
      </c>
      <c r="B2937" s="383" t="s">
        <v>5230</v>
      </c>
      <c r="C2937" s="389" t="s">
        <v>5231</v>
      </c>
      <c r="D2937" s="390">
        <v>143.77000000000001</v>
      </c>
      <c r="E2937" s="390">
        <v>143.77000000000001</v>
      </c>
      <c r="F2937" s="390"/>
      <c r="G2937" s="390"/>
      <c r="H2937" s="391">
        <v>1876.18</v>
      </c>
      <c r="I2937" s="391">
        <v>1876.18</v>
      </c>
      <c r="J2937" s="391"/>
      <c r="K2937" s="391"/>
      <c r="L2937" s="357">
        <v>13.049871322250818</v>
      </c>
      <c r="M2937" s="357">
        <v>13.05</v>
      </c>
      <c r="N2937" s="357" t="s">
        <v>135</v>
      </c>
      <c r="O2937" s="357" t="s">
        <v>135</v>
      </c>
      <c r="P2937" s="392"/>
      <c r="Q2937" s="392"/>
      <c r="R2937" s="392">
        <v>26</v>
      </c>
    </row>
    <row r="2938" spans="1:18">
      <c r="A2938" s="388">
        <v>68.94</v>
      </c>
      <c r="B2938" s="383" t="s">
        <v>5232</v>
      </c>
      <c r="C2938" s="389" t="s">
        <v>5233</v>
      </c>
      <c r="D2938" s="390">
        <v>520.79</v>
      </c>
      <c r="E2938" s="390">
        <v>520.79</v>
      </c>
      <c r="F2938" s="390"/>
      <c r="G2938" s="390"/>
      <c r="H2938" s="391">
        <v>6796.46</v>
      </c>
      <c r="I2938" s="391">
        <v>6796.46</v>
      </c>
      <c r="J2938" s="391"/>
      <c r="K2938" s="391"/>
      <c r="L2938" s="357">
        <v>13.050288984043473</v>
      </c>
      <c r="M2938" s="357">
        <v>13.05</v>
      </c>
      <c r="N2938" s="357" t="s">
        <v>135</v>
      </c>
      <c r="O2938" s="357" t="s">
        <v>135</v>
      </c>
      <c r="P2938" s="392"/>
      <c r="Q2938" s="392"/>
      <c r="R2938" s="392">
        <v>26</v>
      </c>
    </row>
    <row r="2939" spans="1:18" ht="24">
      <c r="A2939" s="393">
        <v>68.95</v>
      </c>
      <c r="B2939" s="394" t="s">
        <v>5234</v>
      </c>
      <c r="C2939" s="395" t="s">
        <v>5235</v>
      </c>
      <c r="D2939" s="396">
        <v>418.41</v>
      </c>
      <c r="E2939" s="396">
        <v>418.41</v>
      </c>
      <c r="F2939" s="396"/>
      <c r="G2939" s="396"/>
      <c r="H2939" s="397">
        <v>5460.35</v>
      </c>
      <c r="I2939" s="397">
        <v>5460.35</v>
      </c>
      <c r="J2939" s="397"/>
      <c r="K2939" s="397"/>
      <c r="L2939" s="356">
        <v>13.05023780502378</v>
      </c>
      <c r="M2939" s="356">
        <v>13.05</v>
      </c>
      <c r="N2939" s="356" t="s">
        <v>135</v>
      </c>
      <c r="O2939" s="356" t="s">
        <v>135</v>
      </c>
      <c r="P2939" s="398"/>
      <c r="Q2939" s="398"/>
      <c r="R2939" s="398">
        <v>26</v>
      </c>
    </row>
    <row r="2940" spans="1:18" ht="12.75">
      <c r="A2940" s="428" t="s">
        <v>5236</v>
      </c>
      <c r="B2940" s="429"/>
      <c r="C2940" s="429"/>
      <c r="D2940" s="429"/>
      <c r="E2940" s="429"/>
      <c r="F2940" s="429"/>
      <c r="G2940" s="429"/>
      <c r="H2940" s="429"/>
      <c r="I2940" s="429"/>
      <c r="J2940" s="429"/>
      <c r="K2940" s="429"/>
      <c r="L2940" s="429"/>
      <c r="M2940" s="429"/>
      <c r="N2940" s="429"/>
      <c r="O2940" s="429"/>
      <c r="P2940" s="429"/>
      <c r="Q2940" s="429"/>
      <c r="R2940" s="429"/>
    </row>
    <row r="2941" spans="1:18">
      <c r="A2941" s="388">
        <v>68.959999999999994</v>
      </c>
      <c r="B2941" s="383" t="s">
        <v>5237</v>
      </c>
      <c r="C2941" s="389" t="s">
        <v>5238</v>
      </c>
      <c r="D2941" s="390">
        <v>4219.0200000000004</v>
      </c>
      <c r="E2941" s="390">
        <v>2203.3200000000002</v>
      </c>
      <c r="F2941" s="390">
        <v>10.49</v>
      </c>
      <c r="G2941" s="390">
        <v>2005.21</v>
      </c>
      <c r="H2941" s="391">
        <v>35633.129999999997</v>
      </c>
      <c r="I2941" s="391">
        <v>28754.18</v>
      </c>
      <c r="J2941" s="391">
        <v>53.07</v>
      </c>
      <c r="K2941" s="391">
        <v>6825.88</v>
      </c>
      <c r="L2941" s="357">
        <v>8.4458310223701218</v>
      </c>
      <c r="M2941" s="357">
        <v>13.05</v>
      </c>
      <c r="N2941" s="357">
        <v>5.0591039084842704</v>
      </c>
      <c r="O2941" s="357">
        <v>3.4040723914203501</v>
      </c>
      <c r="P2941" s="392"/>
      <c r="Q2941" s="392"/>
      <c r="R2941" s="392">
        <v>27</v>
      </c>
    </row>
    <row r="2942" spans="1:18">
      <c r="A2942" s="393">
        <v>68.97</v>
      </c>
      <c r="B2942" s="394" t="s">
        <v>5239</v>
      </c>
      <c r="C2942" s="395" t="s">
        <v>5240</v>
      </c>
      <c r="D2942" s="396">
        <v>2840.03</v>
      </c>
      <c r="E2942" s="396">
        <v>1112.5</v>
      </c>
      <c r="F2942" s="396">
        <v>10.49</v>
      </c>
      <c r="G2942" s="396">
        <v>1717.04</v>
      </c>
      <c r="H2942" s="397">
        <v>20390.7</v>
      </c>
      <c r="I2942" s="397">
        <v>14518.5</v>
      </c>
      <c r="J2942" s="397">
        <v>53.07</v>
      </c>
      <c r="K2942" s="397">
        <v>5819.13</v>
      </c>
      <c r="L2942" s="356">
        <v>7.1797481012524509</v>
      </c>
      <c r="M2942" s="356">
        <v>13.05</v>
      </c>
      <c r="N2942" s="356">
        <v>5.0591039084842704</v>
      </c>
      <c r="O2942" s="356">
        <v>3.3890474304617251</v>
      </c>
      <c r="P2942" s="398"/>
      <c r="Q2942" s="398"/>
      <c r="R2942" s="398">
        <v>27</v>
      </c>
    </row>
    <row r="2943" spans="1:18" ht="12.75">
      <c r="A2943" s="428" t="s">
        <v>5241</v>
      </c>
      <c r="B2943" s="429"/>
      <c r="C2943" s="429"/>
      <c r="D2943" s="429"/>
      <c r="E2943" s="429"/>
      <c r="F2943" s="429"/>
      <c r="G2943" s="429"/>
      <c r="H2943" s="429"/>
      <c r="I2943" s="429"/>
      <c r="J2943" s="429"/>
      <c r="K2943" s="429"/>
      <c r="L2943" s="429"/>
      <c r="M2943" s="429"/>
      <c r="N2943" s="429"/>
      <c r="O2943" s="429"/>
      <c r="P2943" s="429"/>
      <c r="Q2943" s="429"/>
      <c r="R2943" s="429"/>
    </row>
    <row r="2944" spans="1:18" ht="36">
      <c r="A2944" s="388">
        <v>68.98</v>
      </c>
      <c r="B2944" s="383" t="s">
        <v>5242</v>
      </c>
      <c r="C2944" s="389" t="s">
        <v>5243</v>
      </c>
      <c r="D2944" s="390">
        <v>376.93</v>
      </c>
      <c r="E2944" s="390">
        <v>118.57</v>
      </c>
      <c r="F2944" s="390">
        <v>225.89</v>
      </c>
      <c r="G2944" s="390">
        <v>32.47</v>
      </c>
      <c r="H2944" s="391">
        <v>3308.29</v>
      </c>
      <c r="I2944" s="391">
        <v>1547.45</v>
      </c>
      <c r="J2944" s="391">
        <v>1669.88</v>
      </c>
      <c r="K2944" s="391">
        <v>90.96</v>
      </c>
      <c r="L2944" s="357">
        <v>8.7769347093624805</v>
      </c>
      <c r="M2944" s="357">
        <v>13.05</v>
      </c>
      <c r="N2944" s="357">
        <v>7.3924476515117989</v>
      </c>
      <c r="O2944" s="357">
        <v>2.8013550970126269</v>
      </c>
      <c r="P2944" s="392"/>
      <c r="Q2944" s="392"/>
      <c r="R2944" s="392">
        <v>28</v>
      </c>
    </row>
    <row r="2945" spans="1:18" ht="36">
      <c r="A2945" s="388">
        <v>68.989999999999995</v>
      </c>
      <c r="B2945" s="383" t="s">
        <v>5244</v>
      </c>
      <c r="C2945" s="389" t="s">
        <v>5245</v>
      </c>
      <c r="D2945" s="390">
        <v>872.06</v>
      </c>
      <c r="E2945" s="390">
        <v>226.35</v>
      </c>
      <c r="F2945" s="390">
        <v>613.24</v>
      </c>
      <c r="G2945" s="390">
        <v>32.47</v>
      </c>
      <c r="H2945" s="391">
        <v>7628.5</v>
      </c>
      <c r="I2945" s="391">
        <v>2953.77</v>
      </c>
      <c r="J2945" s="391">
        <v>4583.7700000000004</v>
      </c>
      <c r="K2945" s="391">
        <v>90.96</v>
      </c>
      <c r="L2945" s="357">
        <v>8.7476779120702712</v>
      </c>
      <c r="M2945" s="357">
        <v>13.05</v>
      </c>
      <c r="N2945" s="357">
        <v>7.4746754940969282</v>
      </c>
      <c r="O2945" s="357">
        <v>2.8013550970126269</v>
      </c>
      <c r="P2945" s="392"/>
      <c r="Q2945" s="392"/>
      <c r="R2945" s="392">
        <v>28</v>
      </c>
    </row>
    <row r="2946" spans="1:18" ht="36">
      <c r="A2946" s="388">
        <v>68.099999999999994</v>
      </c>
      <c r="B2946" s="383" t="s">
        <v>5246</v>
      </c>
      <c r="C2946" s="389" t="s">
        <v>5247</v>
      </c>
      <c r="D2946" s="390">
        <v>802.22</v>
      </c>
      <c r="E2946" s="390">
        <v>207.06</v>
      </c>
      <c r="F2946" s="390">
        <v>555.78</v>
      </c>
      <c r="G2946" s="390">
        <v>39.380000000000003</v>
      </c>
      <c r="H2946" s="391">
        <v>6766.07</v>
      </c>
      <c r="I2946" s="391">
        <v>2702.15</v>
      </c>
      <c r="J2946" s="391">
        <v>3931.69</v>
      </c>
      <c r="K2946" s="391">
        <v>132.22999999999999</v>
      </c>
      <c r="L2946" s="357">
        <v>8.4341826431652152</v>
      </c>
      <c r="M2946" s="357">
        <v>13.05</v>
      </c>
      <c r="N2946" s="357">
        <v>7.0741840296520211</v>
      </c>
      <c r="O2946" s="357">
        <v>3.3577958354494664</v>
      </c>
      <c r="P2946" s="392"/>
      <c r="Q2946" s="392"/>
      <c r="R2946" s="392">
        <v>28</v>
      </c>
    </row>
    <row r="2947" spans="1:18" ht="36">
      <c r="A2947" s="388">
        <v>68.100999999999999</v>
      </c>
      <c r="B2947" s="383" t="s">
        <v>5248</v>
      </c>
      <c r="C2947" s="389" t="s">
        <v>5249</v>
      </c>
      <c r="D2947" s="390">
        <v>951.35</v>
      </c>
      <c r="E2947" s="390">
        <v>233.5</v>
      </c>
      <c r="F2947" s="390">
        <v>685.33</v>
      </c>
      <c r="G2947" s="390">
        <v>32.520000000000003</v>
      </c>
      <c r="H2947" s="391">
        <v>8162.05</v>
      </c>
      <c r="I2947" s="391">
        <v>3047.2</v>
      </c>
      <c r="J2947" s="391">
        <v>5023.5200000000004</v>
      </c>
      <c r="K2947" s="391">
        <v>91.33</v>
      </c>
      <c r="L2947" s="357">
        <v>8.5794397435223626</v>
      </c>
      <c r="M2947" s="357">
        <v>13.05</v>
      </c>
      <c r="N2947" s="357">
        <v>7.3300745626194681</v>
      </c>
      <c r="O2947" s="357">
        <v>2.8084255842558421</v>
      </c>
      <c r="P2947" s="392"/>
      <c r="Q2947" s="392"/>
      <c r="R2947" s="392">
        <v>28</v>
      </c>
    </row>
    <row r="2948" spans="1:18" ht="36">
      <c r="A2948" s="393">
        <v>68.102000000000004</v>
      </c>
      <c r="B2948" s="394" t="s">
        <v>5250</v>
      </c>
      <c r="C2948" s="395" t="s">
        <v>5251</v>
      </c>
      <c r="D2948" s="396">
        <v>1299.51</v>
      </c>
      <c r="E2948" s="396">
        <v>273.7</v>
      </c>
      <c r="F2948" s="396">
        <v>989.64</v>
      </c>
      <c r="G2948" s="396">
        <v>36.17</v>
      </c>
      <c r="H2948" s="397">
        <v>11043.45</v>
      </c>
      <c r="I2948" s="397">
        <v>3571.84</v>
      </c>
      <c r="J2948" s="397">
        <v>7248.63</v>
      </c>
      <c r="K2948" s="397">
        <v>222.98</v>
      </c>
      <c r="L2948" s="356">
        <v>8.4981646928457657</v>
      </c>
      <c r="M2948" s="356">
        <v>13.05</v>
      </c>
      <c r="N2948" s="356">
        <v>7.3245119437371171</v>
      </c>
      <c r="O2948" s="356">
        <v>6.1647774398672928</v>
      </c>
      <c r="P2948" s="398"/>
      <c r="Q2948" s="398"/>
      <c r="R2948" s="398">
        <v>28</v>
      </c>
    </row>
    <row r="2949" spans="1:18" ht="12.75">
      <c r="A2949" s="428" t="s">
        <v>5252</v>
      </c>
      <c r="B2949" s="429"/>
      <c r="C2949" s="429"/>
      <c r="D2949" s="429"/>
      <c r="E2949" s="429"/>
      <c r="F2949" s="429"/>
      <c r="G2949" s="429"/>
      <c r="H2949" s="429"/>
      <c r="I2949" s="429"/>
      <c r="J2949" s="429"/>
      <c r="K2949" s="429"/>
      <c r="L2949" s="429"/>
      <c r="M2949" s="429"/>
      <c r="N2949" s="429"/>
      <c r="O2949" s="429"/>
      <c r="P2949" s="429"/>
      <c r="Q2949" s="429"/>
      <c r="R2949" s="429"/>
    </row>
    <row r="2950" spans="1:18" ht="24">
      <c r="A2950" s="393">
        <v>68.102999999999994</v>
      </c>
      <c r="B2950" s="394" t="s">
        <v>5253</v>
      </c>
      <c r="C2950" s="395" t="s">
        <v>5254</v>
      </c>
      <c r="D2950" s="396">
        <v>7045.76</v>
      </c>
      <c r="E2950" s="396">
        <v>822.05</v>
      </c>
      <c r="F2950" s="396">
        <v>6223.17</v>
      </c>
      <c r="G2950" s="396">
        <v>0.54</v>
      </c>
      <c r="H2950" s="397">
        <v>62546.76</v>
      </c>
      <c r="I2950" s="397">
        <v>10727.66</v>
      </c>
      <c r="J2950" s="397">
        <v>51817.42</v>
      </c>
      <c r="K2950" s="397">
        <v>1.68</v>
      </c>
      <c r="L2950" s="356">
        <v>8.8772197747297668</v>
      </c>
      <c r="M2950" s="356">
        <v>13.05</v>
      </c>
      <c r="N2950" s="356">
        <v>8.3265313337093474</v>
      </c>
      <c r="O2950" s="356">
        <v>3.1111111111111107</v>
      </c>
      <c r="P2950" s="398"/>
      <c r="Q2950" s="398"/>
      <c r="R2950" s="398">
        <v>29</v>
      </c>
    </row>
    <row r="2951" spans="1:18" ht="12.75">
      <c r="A2951" s="428" t="s">
        <v>5255</v>
      </c>
      <c r="B2951" s="429"/>
      <c r="C2951" s="429"/>
      <c r="D2951" s="429"/>
      <c r="E2951" s="429"/>
      <c r="F2951" s="429"/>
      <c r="G2951" s="429"/>
      <c r="H2951" s="429"/>
      <c r="I2951" s="429"/>
      <c r="J2951" s="429"/>
      <c r="K2951" s="429"/>
      <c r="L2951" s="429"/>
      <c r="M2951" s="429"/>
      <c r="N2951" s="429"/>
      <c r="O2951" s="429"/>
      <c r="P2951" s="429"/>
      <c r="Q2951" s="429"/>
      <c r="R2951" s="429"/>
    </row>
    <row r="2952" spans="1:18" ht="48">
      <c r="A2952" s="388">
        <v>68.103999999999999</v>
      </c>
      <c r="B2952" s="383" t="s">
        <v>5256</v>
      </c>
      <c r="C2952" s="389" t="s">
        <v>5257</v>
      </c>
      <c r="D2952" s="390">
        <v>69.239999999999995</v>
      </c>
      <c r="E2952" s="390">
        <v>55.5</v>
      </c>
      <c r="F2952" s="390">
        <v>13.74</v>
      </c>
      <c r="G2952" s="390"/>
      <c r="H2952" s="391">
        <v>807.79</v>
      </c>
      <c r="I2952" s="391">
        <v>724.28</v>
      </c>
      <c r="J2952" s="391">
        <v>83.51</v>
      </c>
      <c r="K2952" s="391"/>
      <c r="L2952" s="357">
        <v>11.666522241478914</v>
      </c>
      <c r="M2952" s="357">
        <v>13.05</v>
      </c>
      <c r="N2952" s="357">
        <v>6.0778748180494908</v>
      </c>
      <c r="O2952" s="357" t="s">
        <v>135</v>
      </c>
      <c r="P2952" s="392"/>
      <c r="Q2952" s="392"/>
      <c r="R2952" s="392">
        <v>30</v>
      </c>
    </row>
    <row r="2953" spans="1:18" ht="48">
      <c r="A2953" s="388">
        <v>68.105000000000004</v>
      </c>
      <c r="B2953" s="383" t="s">
        <v>5258</v>
      </c>
      <c r="C2953" s="389" t="s">
        <v>5259</v>
      </c>
      <c r="D2953" s="390">
        <v>83.83</v>
      </c>
      <c r="E2953" s="390">
        <v>67.209999999999994</v>
      </c>
      <c r="F2953" s="390">
        <v>16.62</v>
      </c>
      <c r="G2953" s="390"/>
      <c r="H2953" s="391">
        <v>978.01</v>
      </c>
      <c r="I2953" s="391">
        <v>877.05</v>
      </c>
      <c r="J2953" s="391">
        <v>100.96</v>
      </c>
      <c r="K2953" s="391"/>
      <c r="L2953" s="357">
        <v>11.666587140641775</v>
      </c>
      <c r="M2953" s="357">
        <v>13.05</v>
      </c>
      <c r="N2953" s="357">
        <v>6.0746089049338137</v>
      </c>
      <c r="O2953" s="357" t="s">
        <v>135</v>
      </c>
      <c r="P2953" s="392"/>
      <c r="Q2953" s="392"/>
      <c r="R2953" s="392">
        <v>30</v>
      </c>
    </row>
    <row r="2954" spans="1:18" ht="48">
      <c r="A2954" s="388">
        <v>68.105999999999995</v>
      </c>
      <c r="B2954" s="383" t="s">
        <v>5260</v>
      </c>
      <c r="C2954" s="389" t="s">
        <v>5261</v>
      </c>
      <c r="D2954" s="390">
        <v>133.43</v>
      </c>
      <c r="E2954" s="390">
        <v>106.99</v>
      </c>
      <c r="F2954" s="390">
        <v>26.44</v>
      </c>
      <c r="G2954" s="390"/>
      <c r="H2954" s="391">
        <v>1556.87</v>
      </c>
      <c r="I2954" s="391">
        <v>1396.21</v>
      </c>
      <c r="J2954" s="391">
        <v>160.66</v>
      </c>
      <c r="K2954" s="391"/>
      <c r="L2954" s="357">
        <v>11.668065652402007</v>
      </c>
      <c r="M2954" s="357">
        <v>13.05</v>
      </c>
      <c r="N2954" s="357">
        <v>6.0763993948562778</v>
      </c>
      <c r="O2954" s="357" t="s">
        <v>135</v>
      </c>
      <c r="P2954" s="392"/>
      <c r="Q2954" s="392"/>
      <c r="R2954" s="392">
        <v>30</v>
      </c>
    </row>
    <row r="2955" spans="1:18" ht="48">
      <c r="A2955" s="393">
        <v>68.106999999999999</v>
      </c>
      <c r="B2955" s="394" t="s">
        <v>5262</v>
      </c>
      <c r="C2955" s="395" t="s">
        <v>5263</v>
      </c>
      <c r="D2955" s="396">
        <v>180.38</v>
      </c>
      <c r="E2955" s="396">
        <v>144.61000000000001</v>
      </c>
      <c r="F2955" s="396">
        <v>35.770000000000003</v>
      </c>
      <c r="G2955" s="396"/>
      <c r="H2955" s="397">
        <v>2104.42</v>
      </c>
      <c r="I2955" s="397">
        <v>1887.08</v>
      </c>
      <c r="J2955" s="397">
        <v>217.34</v>
      </c>
      <c r="K2955" s="397"/>
      <c r="L2955" s="356">
        <v>11.666592748641756</v>
      </c>
      <c r="M2955" s="356">
        <v>13.05</v>
      </c>
      <c r="N2955" s="356">
        <v>6.0760413754542908</v>
      </c>
      <c r="O2955" s="356" t="s">
        <v>135</v>
      </c>
      <c r="P2955" s="398"/>
      <c r="Q2955" s="398"/>
      <c r="R2955" s="398">
        <v>30</v>
      </c>
    </row>
    <row r="2956" spans="1:18" ht="12.75">
      <c r="A2956" s="428" t="s">
        <v>5264</v>
      </c>
      <c r="B2956" s="429"/>
      <c r="C2956" s="429"/>
      <c r="D2956" s="429"/>
      <c r="E2956" s="429"/>
      <c r="F2956" s="429"/>
      <c r="G2956" s="429"/>
      <c r="H2956" s="429"/>
      <c r="I2956" s="429"/>
      <c r="J2956" s="429"/>
      <c r="K2956" s="429"/>
      <c r="L2956" s="429"/>
      <c r="M2956" s="429"/>
      <c r="N2956" s="429"/>
      <c r="O2956" s="429"/>
      <c r="P2956" s="429"/>
      <c r="Q2956" s="429"/>
      <c r="R2956" s="429"/>
    </row>
    <row r="2957" spans="1:18" ht="48">
      <c r="A2957" s="388">
        <v>68.108000000000004</v>
      </c>
      <c r="B2957" s="383" t="s">
        <v>5265</v>
      </c>
      <c r="C2957" s="389" t="s">
        <v>5266</v>
      </c>
      <c r="D2957" s="390">
        <v>492.83</v>
      </c>
      <c r="E2957" s="390">
        <v>41.52</v>
      </c>
      <c r="F2957" s="390">
        <v>451.31</v>
      </c>
      <c r="G2957" s="390"/>
      <c r="H2957" s="391">
        <v>2727.78</v>
      </c>
      <c r="I2957" s="391">
        <v>541.79</v>
      </c>
      <c r="J2957" s="391">
        <v>2185.9899999999998</v>
      </c>
      <c r="K2957" s="391"/>
      <c r="L2957" s="357">
        <v>5.5349309092384802</v>
      </c>
      <c r="M2957" s="357">
        <v>13.05</v>
      </c>
      <c r="N2957" s="357">
        <v>4.8436551372670662</v>
      </c>
      <c r="O2957" s="357" t="s">
        <v>135</v>
      </c>
      <c r="P2957" s="392"/>
      <c r="Q2957" s="392"/>
      <c r="R2957" s="392">
        <v>31</v>
      </c>
    </row>
    <row r="2958" spans="1:18" ht="48">
      <c r="A2958" s="388">
        <v>68.108999999999995</v>
      </c>
      <c r="B2958" s="383" t="s">
        <v>5267</v>
      </c>
      <c r="C2958" s="389" t="s">
        <v>5268</v>
      </c>
      <c r="D2958" s="390">
        <v>392.03</v>
      </c>
      <c r="E2958" s="390">
        <v>32.950000000000003</v>
      </c>
      <c r="F2958" s="390">
        <v>359.08</v>
      </c>
      <c r="G2958" s="390"/>
      <c r="H2958" s="391">
        <v>2169.25</v>
      </c>
      <c r="I2958" s="391">
        <v>430.04</v>
      </c>
      <c r="J2958" s="391">
        <v>1739.21</v>
      </c>
      <c r="K2958" s="391"/>
      <c r="L2958" s="357">
        <v>5.5333775476366611</v>
      </c>
      <c r="M2958" s="357">
        <v>13.05</v>
      </c>
      <c r="N2958" s="357">
        <v>4.8435167650662807</v>
      </c>
      <c r="O2958" s="357" t="s">
        <v>135</v>
      </c>
      <c r="P2958" s="392"/>
      <c r="Q2958" s="392"/>
      <c r="R2958" s="392">
        <v>31</v>
      </c>
    </row>
    <row r="2959" spans="1:18" ht="48">
      <c r="A2959" s="388">
        <v>68.11</v>
      </c>
      <c r="B2959" s="383" t="s">
        <v>5269</v>
      </c>
      <c r="C2959" s="389" t="s">
        <v>5270</v>
      </c>
      <c r="D2959" s="390">
        <v>172.13</v>
      </c>
      <c r="E2959" s="390">
        <v>14.42</v>
      </c>
      <c r="F2959" s="390">
        <v>157.71</v>
      </c>
      <c r="G2959" s="390"/>
      <c r="H2959" s="391">
        <v>952.04</v>
      </c>
      <c r="I2959" s="391">
        <v>188.14</v>
      </c>
      <c r="J2959" s="391">
        <v>763.9</v>
      </c>
      <c r="K2959" s="391"/>
      <c r="L2959" s="357">
        <v>5.5309359205251845</v>
      </c>
      <c r="M2959" s="357">
        <v>13.05</v>
      </c>
      <c r="N2959" s="357">
        <v>4.8437004628748968</v>
      </c>
      <c r="O2959" s="357" t="s">
        <v>135</v>
      </c>
      <c r="P2959" s="392"/>
      <c r="Q2959" s="392"/>
      <c r="R2959" s="392">
        <v>31</v>
      </c>
    </row>
    <row r="2960" spans="1:18" ht="36">
      <c r="A2960" s="388">
        <v>68.111000000000004</v>
      </c>
      <c r="B2960" s="383" t="s">
        <v>5271</v>
      </c>
      <c r="C2960" s="389" t="s">
        <v>5272</v>
      </c>
      <c r="D2960" s="390">
        <v>143.04</v>
      </c>
      <c r="E2960" s="390">
        <v>12.03</v>
      </c>
      <c r="F2960" s="390">
        <v>131.01</v>
      </c>
      <c r="G2960" s="390"/>
      <c r="H2960" s="391">
        <v>791.58</v>
      </c>
      <c r="I2960" s="391">
        <v>157.02000000000001</v>
      </c>
      <c r="J2960" s="391">
        <v>634.55999999999995</v>
      </c>
      <c r="K2960" s="391"/>
      <c r="L2960" s="357">
        <v>5.5339765100671148</v>
      </c>
      <c r="M2960" s="357">
        <v>13.05</v>
      </c>
      <c r="N2960" s="357">
        <v>4.8435997252118161</v>
      </c>
      <c r="O2960" s="357" t="s">
        <v>135</v>
      </c>
      <c r="P2960" s="392"/>
      <c r="Q2960" s="392"/>
      <c r="R2960" s="392">
        <v>31</v>
      </c>
    </row>
    <row r="2961" spans="1:18" ht="36">
      <c r="A2961" s="388">
        <v>68.111999999999995</v>
      </c>
      <c r="B2961" s="383" t="s">
        <v>5273</v>
      </c>
      <c r="C2961" s="389" t="s">
        <v>5274</v>
      </c>
      <c r="D2961" s="390">
        <v>121.81</v>
      </c>
      <c r="E2961" s="390">
        <v>10.19</v>
      </c>
      <c r="F2961" s="390">
        <v>111.62</v>
      </c>
      <c r="G2961" s="390"/>
      <c r="H2961" s="391">
        <v>673.64</v>
      </c>
      <c r="I2961" s="391">
        <v>132.97</v>
      </c>
      <c r="J2961" s="391">
        <v>540.66999999999996</v>
      </c>
      <c r="K2961" s="391"/>
      <c r="L2961" s="357">
        <v>5.5302520318528856</v>
      </c>
      <c r="M2961" s="357">
        <v>13.05</v>
      </c>
      <c r="N2961" s="357">
        <v>4.8438451890342229</v>
      </c>
      <c r="O2961" s="357" t="s">
        <v>135</v>
      </c>
      <c r="P2961" s="392"/>
      <c r="Q2961" s="392"/>
      <c r="R2961" s="392">
        <v>31</v>
      </c>
    </row>
    <row r="2962" spans="1:18" ht="36">
      <c r="A2962" s="393">
        <v>68.113</v>
      </c>
      <c r="B2962" s="394" t="s">
        <v>5275</v>
      </c>
      <c r="C2962" s="395" t="s">
        <v>5276</v>
      </c>
      <c r="D2962" s="396">
        <v>100.69</v>
      </c>
      <c r="E2962" s="396">
        <v>8.4600000000000009</v>
      </c>
      <c r="F2962" s="396">
        <v>92.23</v>
      </c>
      <c r="G2962" s="396"/>
      <c r="H2962" s="397">
        <v>557.13</v>
      </c>
      <c r="I2962" s="397">
        <v>110.34</v>
      </c>
      <c r="J2962" s="397">
        <v>446.79</v>
      </c>
      <c r="K2962" s="397"/>
      <c r="L2962" s="356">
        <v>5.5331214619128017</v>
      </c>
      <c r="M2962" s="356">
        <v>13.05</v>
      </c>
      <c r="N2962" s="356">
        <v>4.8443022877588637</v>
      </c>
      <c r="O2962" s="356" t="s">
        <v>135</v>
      </c>
      <c r="P2962" s="398"/>
      <c r="Q2962" s="398"/>
      <c r="R2962" s="398">
        <v>31</v>
      </c>
    </row>
    <row r="2963" spans="1:18" ht="12.75">
      <c r="A2963" s="428" t="s">
        <v>5277</v>
      </c>
      <c r="B2963" s="429"/>
      <c r="C2963" s="429"/>
      <c r="D2963" s="429"/>
      <c r="E2963" s="429"/>
      <c r="F2963" s="429"/>
      <c r="G2963" s="429"/>
      <c r="H2963" s="429"/>
      <c r="I2963" s="429"/>
      <c r="J2963" s="429"/>
      <c r="K2963" s="429"/>
      <c r="L2963" s="429"/>
      <c r="M2963" s="429"/>
      <c r="N2963" s="429"/>
      <c r="O2963" s="429"/>
      <c r="P2963" s="429"/>
      <c r="Q2963" s="429"/>
      <c r="R2963" s="429"/>
    </row>
    <row r="2964" spans="1:18" ht="60">
      <c r="A2964" s="388">
        <v>68.114000000000004</v>
      </c>
      <c r="B2964" s="383" t="s">
        <v>5278</v>
      </c>
      <c r="C2964" s="389" t="s">
        <v>5279</v>
      </c>
      <c r="D2964" s="390">
        <v>37.4</v>
      </c>
      <c r="E2964" s="390">
        <v>31.22</v>
      </c>
      <c r="F2964" s="390">
        <v>6.18</v>
      </c>
      <c r="G2964" s="390"/>
      <c r="H2964" s="391">
        <v>444.96</v>
      </c>
      <c r="I2964" s="391">
        <v>407.4</v>
      </c>
      <c r="J2964" s="391">
        <v>37.56</v>
      </c>
      <c r="K2964" s="391"/>
      <c r="L2964" s="357">
        <v>11.897326203208555</v>
      </c>
      <c r="M2964" s="357">
        <v>13.05</v>
      </c>
      <c r="N2964" s="357">
        <v>6.0776699029126222</v>
      </c>
      <c r="O2964" s="357" t="s">
        <v>135</v>
      </c>
      <c r="P2964" s="392"/>
      <c r="Q2964" s="392"/>
      <c r="R2964" s="392">
        <v>32</v>
      </c>
    </row>
    <row r="2965" spans="1:18" ht="60">
      <c r="A2965" s="388">
        <v>68.114999999999995</v>
      </c>
      <c r="B2965" s="383" t="s">
        <v>5280</v>
      </c>
      <c r="C2965" s="389" t="s">
        <v>5281</v>
      </c>
      <c r="D2965" s="390">
        <v>32.07</v>
      </c>
      <c r="E2965" s="390">
        <v>26.77</v>
      </c>
      <c r="F2965" s="390">
        <v>5.3</v>
      </c>
      <c r="G2965" s="390"/>
      <c r="H2965" s="391">
        <v>381.61</v>
      </c>
      <c r="I2965" s="391">
        <v>349.41</v>
      </c>
      <c r="J2965" s="391">
        <v>32.200000000000003</v>
      </c>
      <c r="K2965" s="391"/>
      <c r="L2965" s="357">
        <v>11.899282818833802</v>
      </c>
      <c r="M2965" s="357">
        <v>13.05</v>
      </c>
      <c r="N2965" s="357">
        <v>6.0754716981132084</v>
      </c>
      <c r="O2965" s="357" t="s">
        <v>135</v>
      </c>
      <c r="P2965" s="392"/>
      <c r="Q2965" s="392"/>
      <c r="R2965" s="392">
        <v>32</v>
      </c>
    </row>
    <row r="2966" spans="1:18" ht="60">
      <c r="A2966" s="388">
        <v>68.116</v>
      </c>
      <c r="B2966" s="383" t="s">
        <v>5282</v>
      </c>
      <c r="C2966" s="389" t="s">
        <v>5283</v>
      </c>
      <c r="D2966" s="390">
        <v>28.05</v>
      </c>
      <c r="E2966" s="390">
        <v>23.41</v>
      </c>
      <c r="F2966" s="390">
        <v>4.6399999999999997</v>
      </c>
      <c r="G2966" s="390"/>
      <c r="H2966" s="391">
        <v>333.72</v>
      </c>
      <c r="I2966" s="391">
        <v>305.55</v>
      </c>
      <c r="J2966" s="391">
        <v>28.17</v>
      </c>
      <c r="K2966" s="391"/>
      <c r="L2966" s="357">
        <v>11.897326203208557</v>
      </c>
      <c r="M2966" s="357">
        <v>13.05</v>
      </c>
      <c r="N2966" s="357">
        <v>6.0711206896551735</v>
      </c>
      <c r="O2966" s="357" t="s">
        <v>135</v>
      </c>
      <c r="P2966" s="392"/>
      <c r="Q2966" s="392"/>
      <c r="R2966" s="392">
        <v>32</v>
      </c>
    </row>
    <row r="2967" spans="1:18" ht="48">
      <c r="A2967" s="388">
        <v>68.117000000000004</v>
      </c>
      <c r="B2967" s="383" t="s">
        <v>5284</v>
      </c>
      <c r="C2967" s="389" t="s">
        <v>5285</v>
      </c>
      <c r="D2967" s="390">
        <v>25.45</v>
      </c>
      <c r="E2967" s="390">
        <v>21.25</v>
      </c>
      <c r="F2967" s="390">
        <v>4.2</v>
      </c>
      <c r="G2967" s="390"/>
      <c r="H2967" s="391">
        <v>302.75</v>
      </c>
      <c r="I2967" s="391">
        <v>277.26</v>
      </c>
      <c r="J2967" s="391">
        <v>25.49</v>
      </c>
      <c r="K2967" s="391"/>
      <c r="L2967" s="357">
        <v>11.895874263261296</v>
      </c>
      <c r="M2967" s="357">
        <v>13.05</v>
      </c>
      <c r="N2967" s="357">
        <v>6.0690476190476188</v>
      </c>
      <c r="O2967" s="357" t="s">
        <v>135</v>
      </c>
      <c r="P2967" s="392"/>
      <c r="Q2967" s="392"/>
      <c r="R2967" s="392">
        <v>32</v>
      </c>
    </row>
    <row r="2968" spans="1:18" ht="48">
      <c r="A2968" s="393">
        <v>68.117999999999995</v>
      </c>
      <c r="B2968" s="394" t="s">
        <v>5286</v>
      </c>
      <c r="C2968" s="395" t="s">
        <v>5287</v>
      </c>
      <c r="D2968" s="396">
        <v>22.72</v>
      </c>
      <c r="E2968" s="396">
        <v>18.97</v>
      </c>
      <c r="F2968" s="396">
        <v>3.75</v>
      </c>
      <c r="G2968" s="396"/>
      <c r="H2968" s="397">
        <v>270.37</v>
      </c>
      <c r="I2968" s="397">
        <v>247.56</v>
      </c>
      <c r="J2968" s="397">
        <v>22.81</v>
      </c>
      <c r="K2968" s="397"/>
      <c r="L2968" s="356">
        <v>11.900088028169014</v>
      </c>
      <c r="M2968" s="356">
        <v>13.05</v>
      </c>
      <c r="N2968" s="356">
        <v>6.0826666666666664</v>
      </c>
      <c r="O2968" s="356" t="s">
        <v>135</v>
      </c>
      <c r="P2968" s="398"/>
      <c r="Q2968" s="398"/>
      <c r="R2968" s="398">
        <v>32</v>
      </c>
    </row>
    <row r="2969" spans="1:18" ht="12.75">
      <c r="A2969" s="428" t="s">
        <v>5288</v>
      </c>
      <c r="B2969" s="429"/>
      <c r="C2969" s="429"/>
      <c r="D2969" s="429"/>
      <c r="E2969" s="429"/>
      <c r="F2969" s="429"/>
      <c r="G2969" s="429"/>
      <c r="H2969" s="429"/>
      <c r="I2969" s="429"/>
      <c r="J2969" s="429"/>
      <c r="K2969" s="429"/>
      <c r="L2969" s="429"/>
      <c r="M2969" s="429"/>
      <c r="N2969" s="429"/>
      <c r="O2969" s="429"/>
      <c r="P2969" s="429"/>
      <c r="Q2969" s="429"/>
      <c r="R2969" s="429"/>
    </row>
    <row r="2970" spans="1:18" ht="36">
      <c r="A2970" s="388">
        <v>68.119</v>
      </c>
      <c r="B2970" s="383" t="s">
        <v>5289</v>
      </c>
      <c r="C2970" s="389" t="s">
        <v>5290</v>
      </c>
      <c r="D2970" s="390">
        <v>24.61</v>
      </c>
      <c r="E2970" s="390">
        <v>2.71</v>
      </c>
      <c r="F2970" s="390">
        <v>21.9</v>
      </c>
      <c r="G2970" s="390"/>
      <c r="H2970" s="391">
        <v>170.07</v>
      </c>
      <c r="I2970" s="391">
        <v>35.35</v>
      </c>
      <c r="J2970" s="391">
        <v>134.72</v>
      </c>
      <c r="K2970" s="391"/>
      <c r="L2970" s="357">
        <v>6.9106054449410808</v>
      </c>
      <c r="M2970" s="357">
        <v>13.05</v>
      </c>
      <c r="N2970" s="357">
        <v>6.1515981735159819</v>
      </c>
      <c r="O2970" s="357" t="s">
        <v>135</v>
      </c>
      <c r="P2970" s="392"/>
      <c r="Q2970" s="392"/>
      <c r="R2970" s="392">
        <v>33</v>
      </c>
    </row>
    <row r="2971" spans="1:18" ht="48">
      <c r="A2971" s="393">
        <v>68.12</v>
      </c>
      <c r="B2971" s="394" t="s">
        <v>5291</v>
      </c>
      <c r="C2971" s="395" t="s">
        <v>5292</v>
      </c>
      <c r="D2971" s="396">
        <v>28.95</v>
      </c>
      <c r="E2971" s="396">
        <v>1.1200000000000001</v>
      </c>
      <c r="F2971" s="396">
        <v>27.83</v>
      </c>
      <c r="G2971" s="396"/>
      <c r="H2971" s="397">
        <v>152.05000000000001</v>
      </c>
      <c r="I2971" s="397">
        <v>14.57</v>
      </c>
      <c r="J2971" s="397">
        <v>137.47999999999999</v>
      </c>
      <c r="K2971" s="397"/>
      <c r="L2971" s="356">
        <v>5.2521588946459419</v>
      </c>
      <c r="M2971" s="356">
        <v>13.05</v>
      </c>
      <c r="N2971" s="356">
        <v>4.9399928135106004</v>
      </c>
      <c r="O2971" s="356" t="s">
        <v>135</v>
      </c>
      <c r="P2971" s="398"/>
      <c r="Q2971" s="398"/>
      <c r="R2971" s="398">
        <v>33</v>
      </c>
    </row>
    <row r="2972" spans="1:18" ht="12.75">
      <c r="A2972" s="428" t="s">
        <v>5293</v>
      </c>
      <c r="B2972" s="429"/>
      <c r="C2972" s="429"/>
      <c r="D2972" s="429"/>
      <c r="E2972" s="429"/>
      <c r="F2972" s="429"/>
      <c r="G2972" s="429"/>
      <c r="H2972" s="429"/>
      <c r="I2972" s="429"/>
      <c r="J2972" s="429"/>
      <c r="K2972" s="429"/>
      <c r="L2972" s="429"/>
      <c r="M2972" s="429"/>
      <c r="N2972" s="429"/>
      <c r="O2972" s="429"/>
      <c r="P2972" s="429"/>
      <c r="Q2972" s="429"/>
      <c r="R2972" s="429"/>
    </row>
    <row r="2973" spans="1:18" ht="24">
      <c r="A2973" s="388">
        <v>68.120999999999995</v>
      </c>
      <c r="B2973" s="383" t="s">
        <v>5294</v>
      </c>
      <c r="C2973" s="389" t="s">
        <v>5295</v>
      </c>
      <c r="D2973" s="390">
        <v>75.430000000000007</v>
      </c>
      <c r="E2973" s="390">
        <v>12.59</v>
      </c>
      <c r="F2973" s="390">
        <v>3.15</v>
      </c>
      <c r="G2973" s="390">
        <v>59.69</v>
      </c>
      <c r="H2973" s="391">
        <v>618.26</v>
      </c>
      <c r="I2973" s="391">
        <v>164.31</v>
      </c>
      <c r="J2973" s="391">
        <v>15.92</v>
      </c>
      <c r="K2973" s="391">
        <v>438.03</v>
      </c>
      <c r="L2973" s="357">
        <v>8.1964735516372791</v>
      </c>
      <c r="M2973" s="357">
        <v>13.05</v>
      </c>
      <c r="N2973" s="357">
        <v>5.0539682539682538</v>
      </c>
      <c r="O2973" s="357">
        <v>7.3384151449153956</v>
      </c>
      <c r="P2973" s="392"/>
      <c r="Q2973" s="392"/>
      <c r="R2973" s="392">
        <v>34</v>
      </c>
    </row>
    <row r="2974" spans="1:18" ht="24">
      <c r="A2974" s="388">
        <v>68.122</v>
      </c>
      <c r="B2974" s="383" t="s">
        <v>5296</v>
      </c>
      <c r="C2974" s="389" t="s">
        <v>5297</v>
      </c>
      <c r="D2974" s="390">
        <v>140.5</v>
      </c>
      <c r="E2974" s="390">
        <v>16.98</v>
      </c>
      <c r="F2974" s="390">
        <v>5.25</v>
      </c>
      <c r="G2974" s="390">
        <v>118.27</v>
      </c>
      <c r="H2974" s="391">
        <v>1116.76</v>
      </c>
      <c r="I2974" s="391">
        <v>221.62</v>
      </c>
      <c r="J2974" s="391">
        <v>26.53</v>
      </c>
      <c r="K2974" s="391">
        <v>868.61</v>
      </c>
      <c r="L2974" s="357">
        <v>7.9484697508896796</v>
      </c>
      <c r="M2974" s="357">
        <v>13.05</v>
      </c>
      <c r="N2974" s="357">
        <v>5.0533333333333337</v>
      </c>
      <c r="O2974" s="357">
        <v>7.3442969476621291</v>
      </c>
      <c r="P2974" s="392"/>
      <c r="Q2974" s="392"/>
      <c r="R2974" s="392">
        <v>34</v>
      </c>
    </row>
    <row r="2975" spans="1:18" ht="24">
      <c r="A2975" s="388">
        <v>68.123000000000005</v>
      </c>
      <c r="B2975" s="383" t="s">
        <v>5298</v>
      </c>
      <c r="C2975" s="389" t="s">
        <v>5299</v>
      </c>
      <c r="D2975" s="390">
        <v>185.21</v>
      </c>
      <c r="E2975" s="390">
        <v>21.47</v>
      </c>
      <c r="F2975" s="390">
        <v>8.39</v>
      </c>
      <c r="G2975" s="390">
        <v>155.35</v>
      </c>
      <c r="H2975" s="391">
        <v>1463.45</v>
      </c>
      <c r="I2975" s="391">
        <v>280.20999999999998</v>
      </c>
      <c r="J2975" s="391">
        <v>42.45</v>
      </c>
      <c r="K2975" s="391">
        <v>1140.79</v>
      </c>
      <c r="L2975" s="357">
        <v>7.9015711894606122</v>
      </c>
      <c r="M2975" s="357">
        <v>13.05</v>
      </c>
      <c r="N2975" s="357">
        <v>5.059594755661502</v>
      </c>
      <c r="O2975" s="357">
        <v>7.3433537174122945</v>
      </c>
      <c r="P2975" s="392"/>
      <c r="Q2975" s="392"/>
      <c r="R2975" s="392">
        <v>34</v>
      </c>
    </row>
    <row r="2976" spans="1:18" ht="24">
      <c r="A2976" s="388">
        <v>68.123999999999995</v>
      </c>
      <c r="B2976" s="383" t="s">
        <v>5300</v>
      </c>
      <c r="C2976" s="389" t="s">
        <v>5301</v>
      </c>
      <c r="D2976" s="390">
        <v>142.21</v>
      </c>
      <c r="E2976" s="390">
        <v>21.47</v>
      </c>
      <c r="F2976" s="390">
        <v>8.39</v>
      </c>
      <c r="G2976" s="390">
        <v>112.35</v>
      </c>
      <c r="H2976" s="391">
        <v>1146.6500000000001</v>
      </c>
      <c r="I2976" s="391">
        <v>280.20999999999998</v>
      </c>
      <c r="J2976" s="391">
        <v>42.45</v>
      </c>
      <c r="K2976" s="391">
        <v>823.99</v>
      </c>
      <c r="L2976" s="357">
        <v>8.0630757330708107</v>
      </c>
      <c r="M2976" s="357">
        <v>13.05</v>
      </c>
      <c r="N2976" s="357">
        <v>5.059594755661502</v>
      </c>
      <c r="O2976" s="357">
        <v>7.3341344014241212</v>
      </c>
      <c r="P2976" s="392"/>
      <c r="Q2976" s="392"/>
      <c r="R2976" s="392">
        <v>34</v>
      </c>
    </row>
    <row r="2977" spans="1:18" ht="12.75">
      <c r="A2977" s="382"/>
      <c r="B2977" s="385"/>
      <c r="C2977" s="384"/>
      <c r="D2977" s="386"/>
      <c r="E2977" s="386"/>
      <c r="F2977" s="386"/>
      <c r="G2977" s="386"/>
      <c r="H2977" s="387"/>
      <c r="I2977" s="387"/>
      <c r="J2977" s="387"/>
      <c r="K2977" s="387"/>
      <c r="L2977" s="355"/>
      <c r="M2977" s="355"/>
      <c r="N2977" s="355"/>
      <c r="O2977" s="354"/>
      <c r="P2977" s="381"/>
      <c r="Q2977" s="381"/>
      <c r="R2977" s="381"/>
    </row>
    <row r="2978" spans="1:18">
      <c r="O2978" s="352"/>
    </row>
    <row r="2979" spans="1:18" ht="23.25">
      <c r="A2979" s="61"/>
      <c r="B2979" s="60"/>
      <c r="C2979" s="45" t="s">
        <v>5302</v>
      </c>
      <c r="D2979" s="45"/>
      <c r="E2979" s="45"/>
      <c r="F2979" s="45"/>
      <c r="G2979" s="45"/>
      <c r="H2979" s="58"/>
      <c r="I2979" s="58"/>
      <c r="J2979" s="58"/>
      <c r="K2979" s="58"/>
      <c r="L2979" s="351"/>
      <c r="M2979" s="351"/>
      <c r="N2979" s="351"/>
      <c r="O2979" s="350"/>
    </row>
    <row r="2980" spans="1:18" ht="12.75">
      <c r="A2980" s="428" t="s">
        <v>5303</v>
      </c>
      <c r="B2980" s="429"/>
      <c r="C2980" s="429"/>
      <c r="D2980" s="429"/>
      <c r="E2980" s="429"/>
      <c r="F2980" s="429"/>
      <c r="G2980" s="429"/>
      <c r="H2980" s="429"/>
      <c r="I2980" s="429"/>
      <c r="J2980" s="429"/>
      <c r="K2980" s="429"/>
      <c r="L2980" s="429"/>
      <c r="M2980" s="429"/>
      <c r="N2980" s="429"/>
      <c r="O2980" s="429"/>
      <c r="P2980" s="429"/>
      <c r="Q2980" s="429"/>
      <c r="R2980" s="429"/>
    </row>
    <row r="2981" spans="1:18" ht="36">
      <c r="A2981" s="406">
        <v>69.099999999999994</v>
      </c>
      <c r="B2981" s="401" t="s">
        <v>5304</v>
      </c>
      <c r="C2981" s="407" t="s">
        <v>5305</v>
      </c>
      <c r="D2981" s="408">
        <v>470.66</v>
      </c>
      <c r="E2981" s="408">
        <v>470.66</v>
      </c>
      <c r="F2981" s="408"/>
      <c r="G2981" s="408"/>
      <c r="H2981" s="409">
        <v>6142.32</v>
      </c>
      <c r="I2981" s="409">
        <v>6142.32</v>
      </c>
      <c r="J2981" s="409"/>
      <c r="K2981" s="409"/>
      <c r="L2981" s="357">
        <v>13.050439807929289</v>
      </c>
      <c r="M2981" s="357">
        <v>13.05</v>
      </c>
      <c r="N2981" s="357" t="s">
        <v>135</v>
      </c>
      <c r="O2981" s="357" t="s">
        <v>135</v>
      </c>
      <c r="P2981" s="410"/>
      <c r="Q2981" s="410"/>
      <c r="R2981" s="410">
        <v>1</v>
      </c>
    </row>
    <row r="2982" spans="1:18" ht="36">
      <c r="A2982" s="406">
        <v>69.2</v>
      </c>
      <c r="B2982" s="401" t="s">
        <v>5306</v>
      </c>
      <c r="C2982" s="407" t="s">
        <v>5307</v>
      </c>
      <c r="D2982" s="408">
        <v>796.86</v>
      </c>
      <c r="E2982" s="408">
        <v>796.86</v>
      </c>
      <c r="F2982" s="408"/>
      <c r="G2982" s="408"/>
      <c r="H2982" s="409">
        <v>10399.370000000001</v>
      </c>
      <c r="I2982" s="409">
        <v>10399.370000000001</v>
      </c>
      <c r="J2982" s="409"/>
      <c r="K2982" s="409"/>
      <c r="L2982" s="357">
        <v>13.050435459177272</v>
      </c>
      <c r="M2982" s="357">
        <v>13.05</v>
      </c>
      <c r="N2982" s="357" t="s">
        <v>135</v>
      </c>
      <c r="O2982" s="357" t="s">
        <v>135</v>
      </c>
      <c r="P2982" s="410"/>
      <c r="Q2982" s="410"/>
      <c r="R2982" s="410">
        <v>1</v>
      </c>
    </row>
    <row r="2983" spans="1:18" ht="36">
      <c r="A2983" s="406">
        <v>69.3</v>
      </c>
      <c r="B2983" s="401" t="s">
        <v>5308</v>
      </c>
      <c r="C2983" s="407" t="s">
        <v>5309</v>
      </c>
      <c r="D2983" s="408">
        <v>1115.5999999999999</v>
      </c>
      <c r="E2983" s="408">
        <v>1115.5999999999999</v>
      </c>
      <c r="F2983" s="408"/>
      <c r="G2983" s="408"/>
      <c r="H2983" s="409">
        <v>14559.11</v>
      </c>
      <c r="I2983" s="409">
        <v>14559.11</v>
      </c>
      <c r="J2983" s="409"/>
      <c r="K2983" s="409"/>
      <c r="L2983" s="357">
        <v>13.050475080674078</v>
      </c>
      <c r="M2983" s="357">
        <v>13.05</v>
      </c>
      <c r="N2983" s="357" t="s">
        <v>135</v>
      </c>
      <c r="O2983" s="357" t="s">
        <v>135</v>
      </c>
      <c r="P2983" s="410"/>
      <c r="Q2983" s="410"/>
      <c r="R2983" s="410">
        <v>1</v>
      </c>
    </row>
    <row r="2984" spans="1:18" ht="36">
      <c r="A2984" s="406">
        <v>69.400000000000006</v>
      </c>
      <c r="B2984" s="401" t="s">
        <v>5310</v>
      </c>
      <c r="C2984" s="407" t="s">
        <v>5311</v>
      </c>
      <c r="D2984" s="408">
        <v>1540.6</v>
      </c>
      <c r="E2984" s="408">
        <v>1540.6</v>
      </c>
      <c r="F2984" s="408"/>
      <c r="G2984" s="408"/>
      <c r="H2984" s="409">
        <v>20105.439999999999</v>
      </c>
      <c r="I2984" s="409">
        <v>20105.439999999999</v>
      </c>
      <c r="J2984" s="409"/>
      <c r="K2984" s="409"/>
      <c r="L2984" s="357">
        <v>13.050395949630014</v>
      </c>
      <c r="M2984" s="357">
        <v>13.05</v>
      </c>
      <c r="N2984" s="357" t="s">
        <v>135</v>
      </c>
      <c r="O2984" s="357" t="s">
        <v>135</v>
      </c>
      <c r="P2984" s="410"/>
      <c r="Q2984" s="410"/>
      <c r="R2984" s="410">
        <v>1</v>
      </c>
    </row>
    <row r="2985" spans="1:18" ht="36">
      <c r="A2985" s="406">
        <v>69.5</v>
      </c>
      <c r="B2985" s="401" t="s">
        <v>5312</v>
      </c>
      <c r="C2985" s="407" t="s">
        <v>5313</v>
      </c>
      <c r="D2985" s="408">
        <v>1731.84</v>
      </c>
      <c r="E2985" s="408">
        <v>1731.84</v>
      </c>
      <c r="F2985" s="408"/>
      <c r="G2985" s="408"/>
      <c r="H2985" s="409">
        <v>22601.29</v>
      </c>
      <c r="I2985" s="409">
        <v>22601.29</v>
      </c>
      <c r="J2985" s="409"/>
      <c r="K2985" s="409"/>
      <c r="L2985" s="357">
        <v>13.050449233185514</v>
      </c>
      <c r="M2985" s="357">
        <v>13.05</v>
      </c>
      <c r="N2985" s="357" t="s">
        <v>135</v>
      </c>
      <c r="O2985" s="357" t="s">
        <v>135</v>
      </c>
      <c r="P2985" s="410"/>
      <c r="Q2985" s="410"/>
      <c r="R2985" s="410">
        <v>1</v>
      </c>
    </row>
    <row r="2986" spans="1:18" ht="36">
      <c r="A2986" s="406">
        <v>69.599999999999994</v>
      </c>
      <c r="B2986" s="401" t="s">
        <v>5314</v>
      </c>
      <c r="C2986" s="407" t="s">
        <v>5315</v>
      </c>
      <c r="D2986" s="408">
        <v>1889.35</v>
      </c>
      <c r="E2986" s="408">
        <v>1889.35</v>
      </c>
      <c r="F2986" s="408"/>
      <c r="G2986" s="408"/>
      <c r="H2986" s="409">
        <v>24656.83</v>
      </c>
      <c r="I2986" s="409">
        <v>24656.83</v>
      </c>
      <c r="J2986" s="409"/>
      <c r="K2986" s="409"/>
      <c r="L2986" s="357">
        <v>13.050430042077965</v>
      </c>
      <c r="M2986" s="357">
        <v>13.05</v>
      </c>
      <c r="N2986" s="357" t="s">
        <v>135</v>
      </c>
      <c r="O2986" s="357" t="s">
        <v>135</v>
      </c>
      <c r="P2986" s="410"/>
      <c r="Q2986" s="410"/>
      <c r="R2986" s="410">
        <v>1</v>
      </c>
    </row>
    <row r="2987" spans="1:18" ht="24">
      <c r="A2987" s="406">
        <v>69.7</v>
      </c>
      <c r="B2987" s="401" t="s">
        <v>5316</v>
      </c>
      <c r="C2987" s="407" t="s">
        <v>5317</v>
      </c>
      <c r="D2987" s="408">
        <v>94.6</v>
      </c>
      <c r="E2987" s="408">
        <v>94.6</v>
      </c>
      <c r="F2987" s="408"/>
      <c r="G2987" s="408"/>
      <c r="H2987" s="409">
        <v>1234.54</v>
      </c>
      <c r="I2987" s="409">
        <v>1234.54</v>
      </c>
      <c r="J2987" s="409"/>
      <c r="K2987" s="409"/>
      <c r="L2987" s="357">
        <v>13.050105708245244</v>
      </c>
      <c r="M2987" s="357">
        <v>13.05</v>
      </c>
      <c r="N2987" s="357" t="s">
        <v>135</v>
      </c>
      <c r="O2987" s="357" t="s">
        <v>135</v>
      </c>
      <c r="P2987" s="410"/>
      <c r="Q2987" s="410"/>
      <c r="R2987" s="410">
        <v>1</v>
      </c>
    </row>
    <row r="2988" spans="1:18" ht="24">
      <c r="A2988" s="406">
        <v>69.8</v>
      </c>
      <c r="B2988" s="401" t="s">
        <v>5318</v>
      </c>
      <c r="C2988" s="407" t="s">
        <v>5319</v>
      </c>
      <c r="D2988" s="408">
        <v>160.4</v>
      </c>
      <c r="E2988" s="408">
        <v>160.4</v>
      </c>
      <c r="F2988" s="408"/>
      <c r="G2988" s="408"/>
      <c r="H2988" s="409">
        <v>2093.25</v>
      </c>
      <c r="I2988" s="409">
        <v>2093.25</v>
      </c>
      <c r="J2988" s="409"/>
      <c r="K2988" s="409"/>
      <c r="L2988" s="357">
        <v>13.050187032418952</v>
      </c>
      <c r="M2988" s="357">
        <v>13.05</v>
      </c>
      <c r="N2988" s="357" t="s">
        <v>135</v>
      </c>
      <c r="O2988" s="357" t="s">
        <v>135</v>
      </c>
      <c r="P2988" s="410"/>
      <c r="Q2988" s="410"/>
      <c r="R2988" s="410">
        <v>1</v>
      </c>
    </row>
    <row r="2989" spans="1:18" ht="24">
      <c r="A2989" s="406">
        <v>69.900000000000006</v>
      </c>
      <c r="B2989" s="401" t="s">
        <v>5320</v>
      </c>
      <c r="C2989" s="407" t="s">
        <v>5321</v>
      </c>
      <c r="D2989" s="408">
        <v>222.1</v>
      </c>
      <c r="E2989" s="408">
        <v>222.1</v>
      </c>
      <c r="F2989" s="408"/>
      <c r="G2989" s="408"/>
      <c r="H2989" s="409">
        <v>2898.44</v>
      </c>
      <c r="I2989" s="409">
        <v>2898.44</v>
      </c>
      <c r="J2989" s="409"/>
      <c r="K2989" s="409"/>
      <c r="L2989" s="357">
        <v>13.05015758667267</v>
      </c>
      <c r="M2989" s="357">
        <v>13.05</v>
      </c>
      <c r="N2989" s="357" t="s">
        <v>135</v>
      </c>
      <c r="O2989" s="357" t="s">
        <v>135</v>
      </c>
      <c r="P2989" s="410"/>
      <c r="Q2989" s="410"/>
      <c r="R2989" s="410">
        <v>1</v>
      </c>
    </row>
    <row r="2990" spans="1:18" ht="24">
      <c r="A2990" s="406">
        <v>69.099999999999994</v>
      </c>
      <c r="B2990" s="401" t="s">
        <v>5322</v>
      </c>
      <c r="C2990" s="407" t="s">
        <v>5323</v>
      </c>
      <c r="D2990" s="408">
        <v>307.08999999999997</v>
      </c>
      <c r="E2990" s="408">
        <v>307.08999999999997</v>
      </c>
      <c r="F2990" s="408"/>
      <c r="G2990" s="408"/>
      <c r="H2990" s="409">
        <v>4007.71</v>
      </c>
      <c r="I2990" s="409">
        <v>4007.71</v>
      </c>
      <c r="J2990" s="409"/>
      <c r="K2990" s="409"/>
      <c r="L2990" s="357">
        <v>13.050604057442445</v>
      </c>
      <c r="M2990" s="357">
        <v>13.05</v>
      </c>
      <c r="N2990" s="357" t="s">
        <v>135</v>
      </c>
      <c r="O2990" s="357" t="s">
        <v>135</v>
      </c>
      <c r="P2990" s="410"/>
      <c r="Q2990" s="410"/>
      <c r="R2990" s="410">
        <v>1</v>
      </c>
    </row>
    <row r="2991" spans="1:18" ht="24">
      <c r="A2991" s="406">
        <v>69.11</v>
      </c>
      <c r="B2991" s="401" t="s">
        <v>5324</v>
      </c>
      <c r="C2991" s="407" t="s">
        <v>5325</v>
      </c>
      <c r="D2991" s="408">
        <v>342.14</v>
      </c>
      <c r="E2991" s="408">
        <v>342.14</v>
      </c>
      <c r="F2991" s="408"/>
      <c r="G2991" s="408"/>
      <c r="H2991" s="409">
        <v>4465.04</v>
      </c>
      <c r="I2991" s="409">
        <v>4465.04</v>
      </c>
      <c r="J2991" s="409"/>
      <c r="K2991" s="409"/>
      <c r="L2991" s="357">
        <v>13.050330274156778</v>
      </c>
      <c r="M2991" s="357">
        <v>13.05</v>
      </c>
      <c r="N2991" s="357" t="s">
        <v>135</v>
      </c>
      <c r="O2991" s="357" t="s">
        <v>135</v>
      </c>
      <c r="P2991" s="410"/>
      <c r="Q2991" s="410"/>
      <c r="R2991" s="410">
        <v>1</v>
      </c>
    </row>
    <row r="2992" spans="1:18" ht="24">
      <c r="A2992" s="411">
        <v>69.12</v>
      </c>
      <c r="B2992" s="412" t="s">
        <v>5326</v>
      </c>
      <c r="C2992" s="413" t="s">
        <v>5327</v>
      </c>
      <c r="D2992" s="414">
        <v>385.66</v>
      </c>
      <c r="E2992" s="414">
        <v>385.66</v>
      </c>
      <c r="F2992" s="414"/>
      <c r="G2992" s="414"/>
      <c r="H2992" s="415">
        <v>5033.05</v>
      </c>
      <c r="I2992" s="415">
        <v>5033.05</v>
      </c>
      <c r="J2992" s="415"/>
      <c r="K2992" s="415"/>
      <c r="L2992" s="356">
        <v>13.050484883057615</v>
      </c>
      <c r="M2992" s="356">
        <v>13.05</v>
      </c>
      <c r="N2992" s="356" t="s">
        <v>135</v>
      </c>
      <c r="O2992" s="356" t="s">
        <v>135</v>
      </c>
      <c r="P2992" s="416"/>
      <c r="Q2992" s="416"/>
      <c r="R2992" s="416">
        <v>1</v>
      </c>
    </row>
    <row r="2993" spans="1:18" ht="12.75">
      <c r="A2993" s="428" t="s">
        <v>5328</v>
      </c>
      <c r="B2993" s="429"/>
      <c r="C2993" s="429"/>
      <c r="D2993" s="429"/>
      <c r="E2993" s="429"/>
      <c r="F2993" s="429"/>
      <c r="G2993" s="429"/>
      <c r="H2993" s="429"/>
      <c r="I2993" s="429"/>
      <c r="J2993" s="429"/>
      <c r="K2993" s="429"/>
      <c r="L2993" s="429"/>
      <c r="M2993" s="429"/>
      <c r="N2993" s="429"/>
      <c r="O2993" s="429"/>
      <c r="P2993" s="429"/>
      <c r="Q2993" s="429"/>
      <c r="R2993" s="429"/>
    </row>
    <row r="2994" spans="1:18" ht="36">
      <c r="A2994" s="406">
        <v>69.13</v>
      </c>
      <c r="B2994" s="401" t="s">
        <v>5329</v>
      </c>
      <c r="C2994" s="407" t="s">
        <v>5330</v>
      </c>
      <c r="D2994" s="408">
        <v>67.849999999999994</v>
      </c>
      <c r="E2994" s="408">
        <v>55.94</v>
      </c>
      <c r="F2994" s="408">
        <v>11.91</v>
      </c>
      <c r="G2994" s="408"/>
      <c r="H2994" s="409">
        <v>809.59</v>
      </c>
      <c r="I2994" s="409">
        <v>730.06</v>
      </c>
      <c r="J2994" s="409">
        <v>79.53</v>
      </c>
      <c r="K2994" s="409"/>
      <c r="L2994" s="357">
        <v>11.932056005895358</v>
      </c>
      <c r="M2994" s="357">
        <v>13.05</v>
      </c>
      <c r="N2994" s="357">
        <v>6.6775818639798485</v>
      </c>
      <c r="O2994" s="357" t="s">
        <v>135</v>
      </c>
      <c r="P2994" s="410"/>
      <c r="Q2994" s="410"/>
      <c r="R2994" s="410">
        <v>2</v>
      </c>
    </row>
    <row r="2995" spans="1:18" ht="24">
      <c r="A2995" s="406">
        <v>69.14</v>
      </c>
      <c r="B2995" s="401" t="s">
        <v>5331</v>
      </c>
      <c r="C2995" s="407" t="s">
        <v>5332</v>
      </c>
      <c r="D2995" s="408">
        <v>65.25</v>
      </c>
      <c r="E2995" s="408">
        <v>53.8</v>
      </c>
      <c r="F2995" s="408">
        <v>11.45</v>
      </c>
      <c r="G2995" s="408"/>
      <c r="H2995" s="409">
        <v>778.61</v>
      </c>
      <c r="I2995" s="409">
        <v>702.13</v>
      </c>
      <c r="J2995" s="409">
        <v>76.48</v>
      </c>
      <c r="K2995" s="409"/>
      <c r="L2995" s="357">
        <v>11.93272030651341</v>
      </c>
      <c r="M2995" s="357">
        <v>13.05</v>
      </c>
      <c r="N2995" s="357">
        <v>6.6794759825327521</v>
      </c>
      <c r="O2995" s="357" t="s">
        <v>135</v>
      </c>
      <c r="P2995" s="410"/>
      <c r="Q2995" s="410"/>
      <c r="R2995" s="410">
        <v>2</v>
      </c>
    </row>
    <row r="2996" spans="1:18" ht="36">
      <c r="A2996" s="406">
        <v>69.150000000000006</v>
      </c>
      <c r="B2996" s="401" t="s">
        <v>5333</v>
      </c>
      <c r="C2996" s="407" t="s">
        <v>5334</v>
      </c>
      <c r="D2996" s="408">
        <v>77.989999999999995</v>
      </c>
      <c r="E2996" s="408">
        <v>64.3</v>
      </c>
      <c r="F2996" s="408">
        <v>13.69</v>
      </c>
      <c r="G2996" s="408"/>
      <c r="H2996" s="409">
        <v>930.55</v>
      </c>
      <c r="I2996" s="409">
        <v>839.1</v>
      </c>
      <c r="J2996" s="409">
        <v>91.45</v>
      </c>
      <c r="K2996" s="409"/>
      <c r="L2996" s="357">
        <v>11.931657904859598</v>
      </c>
      <c r="M2996" s="357">
        <v>13.05</v>
      </c>
      <c r="N2996" s="357">
        <v>6.6800584368151936</v>
      </c>
      <c r="O2996" s="357" t="s">
        <v>135</v>
      </c>
      <c r="P2996" s="410"/>
      <c r="Q2996" s="410"/>
      <c r="R2996" s="410">
        <v>2</v>
      </c>
    </row>
    <row r="2997" spans="1:18" ht="36">
      <c r="A2997" s="406">
        <v>69.16</v>
      </c>
      <c r="B2997" s="401" t="s">
        <v>5335</v>
      </c>
      <c r="C2997" s="407" t="s">
        <v>5336</v>
      </c>
      <c r="D2997" s="408">
        <v>127.88</v>
      </c>
      <c r="E2997" s="408">
        <v>107</v>
      </c>
      <c r="F2997" s="408">
        <v>20.88</v>
      </c>
      <c r="G2997" s="408"/>
      <c r="H2997" s="409">
        <v>1524.81</v>
      </c>
      <c r="I2997" s="409">
        <v>1396.29</v>
      </c>
      <c r="J2997" s="409">
        <v>128.52000000000001</v>
      </c>
      <c r="K2997" s="409"/>
      <c r="L2997" s="357">
        <v>11.923756646856427</v>
      </c>
      <c r="M2997" s="357">
        <v>13.05</v>
      </c>
      <c r="N2997" s="357">
        <v>6.1551724137931041</v>
      </c>
      <c r="O2997" s="357" t="s">
        <v>135</v>
      </c>
      <c r="P2997" s="410"/>
      <c r="Q2997" s="410"/>
      <c r="R2997" s="410">
        <v>2</v>
      </c>
    </row>
    <row r="2998" spans="1:18" ht="24">
      <c r="A2998" s="406">
        <v>69.17</v>
      </c>
      <c r="B2998" s="401" t="s">
        <v>5337</v>
      </c>
      <c r="C2998" s="407" t="s">
        <v>5338</v>
      </c>
      <c r="D2998" s="408">
        <v>32.04</v>
      </c>
      <c r="E2998" s="408">
        <v>26.8</v>
      </c>
      <c r="F2998" s="408">
        <v>5.24</v>
      </c>
      <c r="G2998" s="408"/>
      <c r="H2998" s="409">
        <v>381.97</v>
      </c>
      <c r="I2998" s="409">
        <v>349.74</v>
      </c>
      <c r="J2998" s="409">
        <v>32.229999999999997</v>
      </c>
      <c r="K2998" s="409"/>
      <c r="L2998" s="357">
        <v>11.921660424469414</v>
      </c>
      <c r="M2998" s="357">
        <v>13.05</v>
      </c>
      <c r="N2998" s="357">
        <v>6.150763358778625</v>
      </c>
      <c r="O2998" s="357" t="s">
        <v>135</v>
      </c>
      <c r="P2998" s="410"/>
      <c r="Q2998" s="410"/>
      <c r="R2998" s="410">
        <v>2</v>
      </c>
    </row>
    <row r="2999" spans="1:18" ht="36">
      <c r="A2999" s="411">
        <v>69.180000000000007</v>
      </c>
      <c r="B2999" s="412" t="s">
        <v>5339</v>
      </c>
      <c r="C2999" s="413" t="s">
        <v>5340</v>
      </c>
      <c r="D2999" s="414">
        <v>44.82</v>
      </c>
      <c r="E2999" s="414">
        <v>37.5</v>
      </c>
      <c r="F2999" s="414">
        <v>7.32</v>
      </c>
      <c r="G2999" s="414"/>
      <c r="H2999" s="415">
        <v>534.39</v>
      </c>
      <c r="I2999" s="415">
        <v>489.37</v>
      </c>
      <c r="J2999" s="415">
        <v>45.02</v>
      </c>
      <c r="K2999" s="415"/>
      <c r="L2999" s="356">
        <v>11.923025435073628</v>
      </c>
      <c r="M2999" s="356">
        <v>13.05</v>
      </c>
      <c r="N2999" s="356">
        <v>6.1502732240437163</v>
      </c>
      <c r="O2999" s="356" t="s">
        <v>135</v>
      </c>
      <c r="P2999" s="416"/>
      <c r="Q2999" s="416"/>
      <c r="R2999" s="416">
        <v>2</v>
      </c>
    </row>
    <row r="3000" spans="1:18" ht="12.75">
      <c r="A3000" s="428" t="s">
        <v>5341</v>
      </c>
      <c r="B3000" s="429"/>
      <c r="C3000" s="429"/>
      <c r="D3000" s="429"/>
      <c r="E3000" s="429"/>
      <c r="F3000" s="429"/>
      <c r="G3000" s="429"/>
      <c r="H3000" s="429"/>
      <c r="I3000" s="429"/>
      <c r="J3000" s="429"/>
      <c r="K3000" s="429"/>
      <c r="L3000" s="429"/>
      <c r="M3000" s="429"/>
      <c r="N3000" s="429"/>
      <c r="O3000" s="429"/>
      <c r="P3000" s="429"/>
      <c r="Q3000" s="429"/>
      <c r="R3000" s="429"/>
    </row>
    <row r="3001" spans="1:18" ht="36">
      <c r="A3001" s="406">
        <v>69.19</v>
      </c>
      <c r="B3001" s="401" t="s">
        <v>5342</v>
      </c>
      <c r="C3001" s="407" t="s">
        <v>5343</v>
      </c>
      <c r="D3001" s="408">
        <v>1031.51</v>
      </c>
      <c r="E3001" s="408">
        <v>790.74</v>
      </c>
      <c r="F3001" s="408">
        <v>240.77</v>
      </c>
      <c r="G3001" s="408"/>
      <c r="H3001" s="409">
        <v>11848.67</v>
      </c>
      <c r="I3001" s="409">
        <v>10319.25</v>
      </c>
      <c r="J3001" s="409">
        <v>1529.42</v>
      </c>
      <c r="K3001" s="409"/>
      <c r="L3001" s="357">
        <v>11.486723347325766</v>
      </c>
      <c r="M3001" s="357">
        <v>13.05</v>
      </c>
      <c r="N3001" s="357">
        <v>6.3522033475931385</v>
      </c>
      <c r="O3001" s="357" t="s">
        <v>135</v>
      </c>
      <c r="P3001" s="410"/>
      <c r="Q3001" s="410"/>
      <c r="R3001" s="410">
        <v>3</v>
      </c>
    </row>
    <row r="3002" spans="1:18" ht="36">
      <c r="A3002" s="406">
        <v>69.2</v>
      </c>
      <c r="B3002" s="401" t="s">
        <v>5344</v>
      </c>
      <c r="C3002" s="407" t="s">
        <v>5345</v>
      </c>
      <c r="D3002" s="408">
        <v>819.15</v>
      </c>
      <c r="E3002" s="408">
        <v>628.72</v>
      </c>
      <c r="F3002" s="408">
        <v>190.43</v>
      </c>
      <c r="G3002" s="408"/>
      <c r="H3002" s="409">
        <v>9414.5499999999993</v>
      </c>
      <c r="I3002" s="409">
        <v>8204.8700000000008</v>
      </c>
      <c r="J3002" s="409">
        <v>1209.68</v>
      </c>
      <c r="K3002" s="409"/>
      <c r="L3002" s="357">
        <v>11.493072086919367</v>
      </c>
      <c r="M3002" s="357">
        <v>13.05</v>
      </c>
      <c r="N3002" s="357">
        <v>6.3523604474084969</v>
      </c>
      <c r="O3002" s="357" t="s">
        <v>135</v>
      </c>
      <c r="P3002" s="410"/>
      <c r="Q3002" s="410"/>
      <c r="R3002" s="410">
        <v>3</v>
      </c>
    </row>
    <row r="3003" spans="1:18" ht="36">
      <c r="A3003" s="406">
        <v>69.209999999999994</v>
      </c>
      <c r="B3003" s="401" t="s">
        <v>5346</v>
      </c>
      <c r="C3003" s="407" t="s">
        <v>5347</v>
      </c>
      <c r="D3003" s="408">
        <v>955.16</v>
      </c>
      <c r="E3003" s="408">
        <v>731.64</v>
      </c>
      <c r="F3003" s="408">
        <v>223.52</v>
      </c>
      <c r="G3003" s="408"/>
      <c r="H3003" s="409">
        <v>10967.82</v>
      </c>
      <c r="I3003" s="409">
        <v>9547.9599999999991</v>
      </c>
      <c r="J3003" s="409">
        <v>1419.86</v>
      </c>
      <c r="K3003" s="409"/>
      <c r="L3003" s="357">
        <v>11.482704468361321</v>
      </c>
      <c r="M3003" s="357">
        <v>13.05</v>
      </c>
      <c r="N3003" s="357">
        <v>6.3522727272727266</v>
      </c>
      <c r="O3003" s="357" t="s">
        <v>135</v>
      </c>
      <c r="P3003" s="410"/>
      <c r="Q3003" s="410"/>
      <c r="R3003" s="410">
        <v>3</v>
      </c>
    </row>
    <row r="3004" spans="1:18" ht="36">
      <c r="A3004" s="411">
        <v>69.22</v>
      </c>
      <c r="B3004" s="412" t="s">
        <v>5348</v>
      </c>
      <c r="C3004" s="413" t="s">
        <v>5349</v>
      </c>
      <c r="D3004" s="414">
        <v>563.94000000000005</v>
      </c>
      <c r="E3004" s="414">
        <v>435.11</v>
      </c>
      <c r="F3004" s="414">
        <v>128.83000000000001</v>
      </c>
      <c r="G3004" s="414"/>
      <c r="H3004" s="415">
        <v>6496.63</v>
      </c>
      <c r="I3004" s="415">
        <v>5678.25</v>
      </c>
      <c r="J3004" s="415">
        <v>818.38</v>
      </c>
      <c r="K3004" s="415"/>
      <c r="L3004" s="356">
        <v>11.520073057417456</v>
      </c>
      <c r="M3004" s="356">
        <v>13.05</v>
      </c>
      <c r="N3004" s="356">
        <v>6.3524023907474962</v>
      </c>
      <c r="O3004" s="356" t="s">
        <v>135</v>
      </c>
      <c r="P3004" s="416"/>
      <c r="Q3004" s="416"/>
      <c r="R3004" s="416">
        <v>3</v>
      </c>
    </row>
    <row r="3005" spans="1:18" ht="12.75">
      <c r="A3005" s="428" t="s">
        <v>5350</v>
      </c>
      <c r="B3005" s="429"/>
      <c r="C3005" s="429"/>
      <c r="D3005" s="429"/>
      <c r="E3005" s="429"/>
      <c r="F3005" s="429"/>
      <c r="G3005" s="429"/>
      <c r="H3005" s="429"/>
      <c r="I3005" s="429"/>
      <c r="J3005" s="429"/>
      <c r="K3005" s="429"/>
      <c r="L3005" s="429"/>
      <c r="M3005" s="429"/>
      <c r="N3005" s="429"/>
      <c r="O3005" s="429"/>
      <c r="P3005" s="429"/>
      <c r="Q3005" s="429"/>
      <c r="R3005" s="429"/>
    </row>
    <row r="3006" spans="1:18" ht="36">
      <c r="A3006" s="406">
        <v>69.23</v>
      </c>
      <c r="B3006" s="401" t="s">
        <v>5351</v>
      </c>
      <c r="C3006" s="407" t="s">
        <v>5352</v>
      </c>
      <c r="D3006" s="408">
        <v>1248.94</v>
      </c>
      <c r="E3006" s="408">
        <v>801.55</v>
      </c>
      <c r="F3006" s="408">
        <v>1.83</v>
      </c>
      <c r="G3006" s="408">
        <v>445.56</v>
      </c>
      <c r="H3006" s="409">
        <v>12444.34</v>
      </c>
      <c r="I3006" s="409">
        <v>10460.209999999999</v>
      </c>
      <c r="J3006" s="409">
        <v>13.9</v>
      </c>
      <c r="K3006" s="409">
        <v>1970.23</v>
      </c>
      <c r="L3006" s="357">
        <v>9.9639214053517371</v>
      </c>
      <c r="M3006" s="357">
        <v>13.05</v>
      </c>
      <c r="N3006" s="357">
        <v>7.5956284153005464</v>
      </c>
      <c r="O3006" s="357">
        <v>4.421918484603645</v>
      </c>
      <c r="P3006" s="410"/>
      <c r="Q3006" s="410"/>
      <c r="R3006" s="410">
        <v>4</v>
      </c>
    </row>
    <row r="3007" spans="1:18" ht="24">
      <c r="A3007" s="406">
        <v>69.239999999999995</v>
      </c>
      <c r="B3007" s="401" t="s">
        <v>5353</v>
      </c>
      <c r="C3007" s="407" t="s">
        <v>5354</v>
      </c>
      <c r="D3007" s="408">
        <v>1038.7</v>
      </c>
      <c r="E3007" s="408">
        <v>708.61</v>
      </c>
      <c r="F3007" s="408">
        <v>0.73</v>
      </c>
      <c r="G3007" s="408">
        <v>329.36</v>
      </c>
      <c r="H3007" s="409">
        <v>10462.83</v>
      </c>
      <c r="I3007" s="409">
        <v>9247.43</v>
      </c>
      <c r="J3007" s="409">
        <v>5.56</v>
      </c>
      <c r="K3007" s="409">
        <v>1209.8399999999999</v>
      </c>
      <c r="L3007" s="357">
        <v>10.073004717435255</v>
      </c>
      <c r="M3007" s="357">
        <v>13.05</v>
      </c>
      <c r="N3007" s="357">
        <v>7.6164383561643829</v>
      </c>
      <c r="O3007" s="357">
        <v>3.6733058051979595</v>
      </c>
      <c r="P3007" s="410"/>
      <c r="Q3007" s="410"/>
      <c r="R3007" s="410">
        <v>4</v>
      </c>
    </row>
    <row r="3008" spans="1:18" ht="24">
      <c r="A3008" s="406">
        <v>69.25</v>
      </c>
      <c r="B3008" s="401" t="s">
        <v>5355</v>
      </c>
      <c r="C3008" s="407" t="s">
        <v>5356</v>
      </c>
      <c r="D3008" s="408">
        <v>1124.5999999999999</v>
      </c>
      <c r="E3008" s="408">
        <v>618.02</v>
      </c>
      <c r="F3008" s="408">
        <v>2.93</v>
      </c>
      <c r="G3008" s="408">
        <v>503.65</v>
      </c>
      <c r="H3008" s="409">
        <v>10437.89</v>
      </c>
      <c r="I3008" s="409">
        <v>8065.24</v>
      </c>
      <c r="J3008" s="409">
        <v>22.23</v>
      </c>
      <c r="K3008" s="409">
        <v>2350.42</v>
      </c>
      <c r="L3008" s="357">
        <v>9.2814245064911969</v>
      </c>
      <c r="M3008" s="357">
        <v>13.05</v>
      </c>
      <c r="N3008" s="357">
        <v>7.5870307167235493</v>
      </c>
      <c r="O3008" s="357">
        <v>4.666772560309739</v>
      </c>
      <c r="P3008" s="410"/>
      <c r="Q3008" s="410"/>
      <c r="R3008" s="410">
        <v>4</v>
      </c>
    </row>
    <row r="3009" spans="1:18" ht="24">
      <c r="A3009" s="406">
        <v>69.260000000000005</v>
      </c>
      <c r="B3009" s="401" t="s">
        <v>5357</v>
      </c>
      <c r="C3009" s="407" t="s">
        <v>5358</v>
      </c>
      <c r="D3009" s="408">
        <v>1322.71</v>
      </c>
      <c r="E3009" s="408">
        <v>731.85</v>
      </c>
      <c r="F3009" s="408">
        <v>2.93</v>
      </c>
      <c r="G3009" s="408">
        <v>587.92999999999995</v>
      </c>
      <c r="H3009" s="409">
        <v>12421.95</v>
      </c>
      <c r="I3009" s="409">
        <v>9550.6200000000008</v>
      </c>
      <c r="J3009" s="409">
        <v>22.23</v>
      </c>
      <c r="K3009" s="409">
        <v>2849.1</v>
      </c>
      <c r="L3009" s="357">
        <v>9.3912875838241181</v>
      </c>
      <c r="M3009" s="357">
        <v>13.05</v>
      </c>
      <c r="N3009" s="357">
        <v>7.5870307167235493</v>
      </c>
      <c r="O3009" s="357">
        <v>4.8459850662493835</v>
      </c>
      <c r="P3009" s="410"/>
      <c r="Q3009" s="410"/>
      <c r="R3009" s="410">
        <v>4</v>
      </c>
    </row>
    <row r="3010" spans="1:18" ht="24">
      <c r="A3010" s="411">
        <v>69.27</v>
      </c>
      <c r="B3010" s="412" t="s">
        <v>5359</v>
      </c>
      <c r="C3010" s="413" t="s">
        <v>5360</v>
      </c>
      <c r="D3010" s="414">
        <v>3062.82</v>
      </c>
      <c r="E3010" s="414">
        <v>1579.86</v>
      </c>
      <c r="F3010" s="414">
        <v>5.49</v>
      </c>
      <c r="G3010" s="414">
        <v>1477.47</v>
      </c>
      <c r="H3010" s="415">
        <v>26339.08</v>
      </c>
      <c r="I3010" s="415">
        <v>20617.22</v>
      </c>
      <c r="J3010" s="415">
        <v>41.69</v>
      </c>
      <c r="K3010" s="415">
        <v>5680.17</v>
      </c>
      <c r="L3010" s="356">
        <v>8.5996173461058767</v>
      </c>
      <c r="M3010" s="356">
        <v>13.05</v>
      </c>
      <c r="N3010" s="356">
        <v>7.5938069216757738</v>
      </c>
      <c r="O3010" s="356">
        <v>3.8445247619241001</v>
      </c>
      <c r="P3010" s="416"/>
      <c r="Q3010" s="416"/>
      <c r="R3010" s="416">
        <v>4</v>
      </c>
    </row>
    <row r="3011" spans="1:18" ht="12.75">
      <c r="A3011" s="428" t="s">
        <v>5361</v>
      </c>
      <c r="B3011" s="429"/>
      <c r="C3011" s="429"/>
      <c r="D3011" s="429"/>
      <c r="E3011" s="429"/>
      <c r="F3011" s="429"/>
      <c r="G3011" s="429"/>
      <c r="H3011" s="429"/>
      <c r="I3011" s="429"/>
      <c r="J3011" s="429"/>
      <c r="K3011" s="429"/>
      <c r="L3011" s="429"/>
      <c r="M3011" s="429"/>
      <c r="N3011" s="429"/>
      <c r="O3011" s="429"/>
      <c r="P3011" s="429"/>
      <c r="Q3011" s="429"/>
      <c r="R3011" s="429"/>
    </row>
    <row r="3012" spans="1:18">
      <c r="A3012" s="411">
        <v>69.28</v>
      </c>
      <c r="B3012" s="412" t="s">
        <v>5362</v>
      </c>
      <c r="C3012" s="413" t="s">
        <v>5363</v>
      </c>
      <c r="D3012" s="414">
        <v>5046.7700000000004</v>
      </c>
      <c r="E3012" s="414">
        <v>222.77</v>
      </c>
      <c r="F3012" s="414">
        <v>4594.3</v>
      </c>
      <c r="G3012" s="414">
        <v>229.7</v>
      </c>
      <c r="H3012" s="415">
        <v>24465.77</v>
      </c>
      <c r="I3012" s="415">
        <v>2907.22</v>
      </c>
      <c r="J3012" s="415">
        <v>20036.39</v>
      </c>
      <c r="K3012" s="415">
        <v>1522.16</v>
      </c>
      <c r="L3012" s="356">
        <v>4.8478076076381527</v>
      </c>
      <c r="M3012" s="356">
        <v>13.05</v>
      </c>
      <c r="N3012" s="356">
        <v>4.3611409790392441</v>
      </c>
      <c r="O3012" s="356">
        <v>6.6267305180670446</v>
      </c>
      <c r="P3012" s="416"/>
      <c r="Q3012" s="416"/>
      <c r="R3012" s="416">
        <v>5</v>
      </c>
    </row>
    <row r="3013" spans="1:18" ht="12.75">
      <c r="A3013" s="428" t="s">
        <v>5364</v>
      </c>
      <c r="B3013" s="429"/>
      <c r="C3013" s="429"/>
      <c r="D3013" s="429"/>
      <c r="E3013" s="429"/>
      <c r="F3013" s="429"/>
      <c r="G3013" s="429"/>
      <c r="H3013" s="429"/>
      <c r="I3013" s="429"/>
      <c r="J3013" s="429"/>
      <c r="K3013" s="429"/>
      <c r="L3013" s="429"/>
      <c r="M3013" s="429"/>
      <c r="N3013" s="429"/>
      <c r="O3013" s="429"/>
      <c r="P3013" s="429"/>
      <c r="Q3013" s="429"/>
      <c r="R3013" s="429"/>
    </row>
    <row r="3014" spans="1:18" ht="24">
      <c r="A3014" s="411">
        <v>69.290000000000006</v>
      </c>
      <c r="B3014" s="412" t="s">
        <v>5365</v>
      </c>
      <c r="C3014" s="413" t="s">
        <v>5366</v>
      </c>
      <c r="D3014" s="414">
        <v>9405.27</v>
      </c>
      <c r="E3014" s="414">
        <v>1421.91</v>
      </c>
      <c r="F3014" s="414">
        <v>251.76</v>
      </c>
      <c r="G3014" s="414">
        <v>7731.6</v>
      </c>
      <c r="H3014" s="415">
        <v>51048.63</v>
      </c>
      <c r="I3014" s="415">
        <v>18556.57</v>
      </c>
      <c r="J3014" s="415">
        <v>1273.56</v>
      </c>
      <c r="K3014" s="415">
        <v>31218.5</v>
      </c>
      <c r="L3014" s="356">
        <v>5.4276623637598913</v>
      </c>
      <c r="M3014" s="356">
        <v>13.05</v>
      </c>
      <c r="N3014" s="356">
        <v>5.0586272640610108</v>
      </c>
      <c r="O3014" s="356">
        <v>4.0377800196595786</v>
      </c>
      <c r="P3014" s="416"/>
      <c r="Q3014" s="416"/>
      <c r="R3014" s="416">
        <v>6</v>
      </c>
    </row>
    <row r="3015" spans="1:18" ht="12.75">
      <c r="A3015" s="428" t="s">
        <v>5367</v>
      </c>
      <c r="B3015" s="429"/>
      <c r="C3015" s="429"/>
      <c r="D3015" s="429"/>
      <c r="E3015" s="429"/>
      <c r="F3015" s="429"/>
      <c r="G3015" s="429"/>
      <c r="H3015" s="429"/>
      <c r="I3015" s="429"/>
      <c r="J3015" s="429"/>
      <c r="K3015" s="429"/>
      <c r="L3015" s="429"/>
      <c r="M3015" s="429"/>
      <c r="N3015" s="429"/>
      <c r="O3015" s="429"/>
      <c r="P3015" s="429"/>
      <c r="Q3015" s="429"/>
      <c r="R3015" s="429"/>
    </row>
    <row r="3016" spans="1:18">
      <c r="A3016" s="406">
        <v>69.3</v>
      </c>
      <c r="B3016" s="401" t="s">
        <v>5368</v>
      </c>
      <c r="C3016" s="407" t="s">
        <v>5369</v>
      </c>
      <c r="D3016" s="408">
        <v>2308.54</v>
      </c>
      <c r="E3016" s="408">
        <v>199.26</v>
      </c>
      <c r="F3016" s="408">
        <v>16.71</v>
      </c>
      <c r="G3016" s="408">
        <v>2092.5700000000002</v>
      </c>
      <c r="H3016" s="409">
        <v>11818.14</v>
      </c>
      <c r="I3016" s="409">
        <v>2600.42</v>
      </c>
      <c r="J3016" s="409">
        <v>100.31</v>
      </c>
      <c r="K3016" s="409">
        <v>9117.41</v>
      </c>
      <c r="L3016" s="357">
        <v>5.1193135055056445</v>
      </c>
      <c r="M3016" s="357">
        <v>13.05</v>
      </c>
      <c r="N3016" s="357">
        <v>6.0029922202274086</v>
      </c>
      <c r="O3016" s="357">
        <v>4.3570394299832262</v>
      </c>
      <c r="P3016" s="410"/>
      <c r="Q3016" s="410"/>
      <c r="R3016" s="410">
        <v>7</v>
      </c>
    </row>
    <row r="3017" spans="1:18">
      <c r="A3017" s="411">
        <v>69.31</v>
      </c>
      <c r="B3017" s="412" t="s">
        <v>5370</v>
      </c>
      <c r="C3017" s="413" t="s">
        <v>5371</v>
      </c>
      <c r="D3017" s="414">
        <v>8911.4599999999991</v>
      </c>
      <c r="E3017" s="414">
        <v>1000.15</v>
      </c>
      <c r="F3017" s="414">
        <v>195.17</v>
      </c>
      <c r="G3017" s="414">
        <v>7716.14</v>
      </c>
      <c r="H3017" s="415">
        <v>46439.55</v>
      </c>
      <c r="I3017" s="415">
        <v>13052.09</v>
      </c>
      <c r="J3017" s="415">
        <v>1029.94</v>
      </c>
      <c r="K3017" s="415">
        <v>32357.52</v>
      </c>
      <c r="L3017" s="356">
        <v>5.2112167927589876</v>
      </c>
      <c r="M3017" s="356">
        <v>13.05</v>
      </c>
      <c r="N3017" s="356">
        <v>5.2771430035353797</v>
      </c>
      <c r="O3017" s="356">
        <v>4.1934853437081232</v>
      </c>
      <c r="P3017" s="416"/>
      <c r="Q3017" s="416"/>
      <c r="R3017" s="416">
        <v>7</v>
      </c>
    </row>
    <row r="3018" spans="1:18" ht="12.75">
      <c r="A3018" s="428" t="s">
        <v>5372</v>
      </c>
      <c r="B3018" s="429"/>
      <c r="C3018" s="429"/>
      <c r="D3018" s="429"/>
      <c r="E3018" s="429"/>
      <c r="F3018" s="429"/>
      <c r="G3018" s="429"/>
      <c r="H3018" s="429"/>
      <c r="I3018" s="429"/>
      <c r="J3018" s="429"/>
      <c r="K3018" s="429"/>
      <c r="L3018" s="429"/>
      <c r="M3018" s="429"/>
      <c r="N3018" s="429"/>
      <c r="O3018" s="429"/>
      <c r="P3018" s="429"/>
      <c r="Q3018" s="429"/>
      <c r="R3018" s="429"/>
    </row>
    <row r="3019" spans="1:18" ht="24">
      <c r="A3019" s="406">
        <v>69.319999999999993</v>
      </c>
      <c r="B3019" s="401" t="s">
        <v>5373</v>
      </c>
      <c r="C3019" s="407" t="s">
        <v>5374</v>
      </c>
      <c r="D3019" s="408">
        <v>25898.77</v>
      </c>
      <c r="E3019" s="408">
        <v>3982.25</v>
      </c>
      <c r="F3019" s="408">
        <v>132.16999999999999</v>
      </c>
      <c r="G3019" s="408">
        <v>21784.35</v>
      </c>
      <c r="H3019" s="409">
        <v>247067.19</v>
      </c>
      <c r="I3019" s="409">
        <v>51970.07</v>
      </c>
      <c r="J3019" s="409">
        <v>668.62</v>
      </c>
      <c r="K3019" s="409">
        <v>194428.5</v>
      </c>
      <c r="L3019" s="357">
        <v>9.5397267901139706</v>
      </c>
      <c r="M3019" s="357">
        <v>13.05</v>
      </c>
      <c r="N3019" s="357">
        <v>5.0587879246425063</v>
      </c>
      <c r="O3019" s="357">
        <v>8.9251458042126579</v>
      </c>
      <c r="P3019" s="410"/>
      <c r="Q3019" s="410"/>
      <c r="R3019" s="410">
        <v>8</v>
      </c>
    </row>
    <row r="3020" spans="1:18" ht="24">
      <c r="A3020" s="406">
        <v>69.33</v>
      </c>
      <c r="B3020" s="401" t="s">
        <v>5375</v>
      </c>
      <c r="C3020" s="407" t="s">
        <v>5376</v>
      </c>
      <c r="D3020" s="408">
        <v>7552.27</v>
      </c>
      <c r="E3020" s="408">
        <v>3829.87</v>
      </c>
      <c r="F3020" s="408"/>
      <c r="G3020" s="408">
        <v>3722.4</v>
      </c>
      <c r="H3020" s="409">
        <v>135561.42000000001</v>
      </c>
      <c r="I3020" s="409">
        <v>49981.42</v>
      </c>
      <c r="J3020" s="409"/>
      <c r="K3020" s="409">
        <v>85580</v>
      </c>
      <c r="L3020" s="357">
        <v>17.949758152184707</v>
      </c>
      <c r="M3020" s="357">
        <v>13.05</v>
      </c>
      <c r="N3020" s="357" t="s">
        <v>135</v>
      </c>
      <c r="O3020" s="357">
        <v>22.990543735224584</v>
      </c>
      <c r="P3020" s="410"/>
      <c r="Q3020" s="410"/>
      <c r="R3020" s="410">
        <v>8</v>
      </c>
    </row>
    <row r="3021" spans="1:18" ht="24">
      <c r="A3021" s="411">
        <v>69.34</v>
      </c>
      <c r="B3021" s="412" t="s">
        <v>5377</v>
      </c>
      <c r="C3021" s="413" t="s">
        <v>5378</v>
      </c>
      <c r="D3021" s="414">
        <v>11101.98</v>
      </c>
      <c r="E3021" s="414">
        <v>3616.53</v>
      </c>
      <c r="F3021" s="414"/>
      <c r="G3021" s="414">
        <v>7485.45</v>
      </c>
      <c r="H3021" s="415">
        <v>93128.51</v>
      </c>
      <c r="I3021" s="415">
        <v>47197.31</v>
      </c>
      <c r="J3021" s="415"/>
      <c r="K3021" s="415">
        <v>45931.199999999997</v>
      </c>
      <c r="L3021" s="356">
        <v>8.3884595360467227</v>
      </c>
      <c r="M3021" s="356">
        <v>13.05</v>
      </c>
      <c r="N3021" s="356" t="s">
        <v>135</v>
      </c>
      <c r="O3021" s="356">
        <v>6.1360639640903347</v>
      </c>
      <c r="P3021" s="416"/>
      <c r="Q3021" s="416"/>
      <c r="R3021" s="416">
        <v>8</v>
      </c>
    </row>
    <row r="3022" spans="1:18" ht="12.75">
      <c r="A3022" s="428" t="s">
        <v>5379</v>
      </c>
      <c r="B3022" s="429"/>
      <c r="C3022" s="429"/>
      <c r="D3022" s="429"/>
      <c r="E3022" s="429"/>
      <c r="F3022" s="429"/>
      <c r="G3022" s="429"/>
      <c r="H3022" s="429"/>
      <c r="I3022" s="429"/>
      <c r="J3022" s="429"/>
      <c r="K3022" s="429"/>
      <c r="L3022" s="429"/>
      <c r="M3022" s="429"/>
      <c r="N3022" s="429"/>
      <c r="O3022" s="429"/>
      <c r="P3022" s="429"/>
      <c r="Q3022" s="429"/>
      <c r="R3022" s="429"/>
    </row>
    <row r="3023" spans="1:18">
      <c r="A3023" s="411">
        <v>69.349999999999994</v>
      </c>
      <c r="B3023" s="412" t="s">
        <v>5380</v>
      </c>
      <c r="C3023" s="413" t="s">
        <v>5381</v>
      </c>
      <c r="D3023" s="414">
        <v>1858.15</v>
      </c>
      <c r="E3023" s="414">
        <v>1858.15</v>
      </c>
      <c r="F3023" s="414"/>
      <c r="G3023" s="414"/>
      <c r="H3023" s="415">
        <v>24248.16</v>
      </c>
      <c r="I3023" s="415">
        <v>24248.16</v>
      </c>
      <c r="J3023" s="415"/>
      <c r="K3023" s="415"/>
      <c r="L3023" s="356">
        <v>13.04962462664478</v>
      </c>
      <c r="M3023" s="356">
        <v>13.05</v>
      </c>
      <c r="N3023" s="356" t="s">
        <v>135</v>
      </c>
      <c r="O3023" s="356" t="s">
        <v>135</v>
      </c>
      <c r="P3023" s="416"/>
      <c r="Q3023" s="416"/>
      <c r="R3023" s="416">
        <v>9</v>
      </c>
    </row>
    <row r="3024" spans="1:18" ht="12.75">
      <c r="A3024" s="428" t="s">
        <v>5382</v>
      </c>
      <c r="B3024" s="429"/>
      <c r="C3024" s="429"/>
      <c r="D3024" s="429"/>
      <c r="E3024" s="429"/>
      <c r="F3024" s="429"/>
      <c r="G3024" s="429"/>
      <c r="H3024" s="429"/>
      <c r="I3024" s="429"/>
      <c r="J3024" s="429"/>
      <c r="K3024" s="429"/>
      <c r="L3024" s="429"/>
      <c r="M3024" s="429"/>
      <c r="N3024" s="429"/>
      <c r="O3024" s="429"/>
      <c r="P3024" s="429"/>
      <c r="Q3024" s="429"/>
      <c r="R3024" s="429"/>
    </row>
    <row r="3025" spans="1:18" ht="24">
      <c r="A3025" s="406">
        <v>69.36</v>
      </c>
      <c r="B3025" s="401" t="s">
        <v>5383</v>
      </c>
      <c r="C3025" s="407" t="s">
        <v>5384</v>
      </c>
      <c r="D3025" s="408">
        <v>104.11</v>
      </c>
      <c r="E3025" s="408">
        <v>25.58</v>
      </c>
      <c r="F3025" s="408">
        <v>2.1</v>
      </c>
      <c r="G3025" s="408">
        <v>76.430000000000007</v>
      </c>
      <c r="H3025" s="409">
        <v>595.79</v>
      </c>
      <c r="I3025" s="409">
        <v>333.78</v>
      </c>
      <c r="J3025" s="409">
        <v>10.61</v>
      </c>
      <c r="K3025" s="409">
        <v>251.4</v>
      </c>
      <c r="L3025" s="357">
        <v>5.7226971472481027</v>
      </c>
      <c r="M3025" s="357">
        <v>13.05</v>
      </c>
      <c r="N3025" s="357">
        <v>5.0523809523809522</v>
      </c>
      <c r="O3025" s="357">
        <v>3.2892843124427578</v>
      </c>
      <c r="P3025" s="410"/>
      <c r="Q3025" s="410"/>
      <c r="R3025" s="410">
        <v>10</v>
      </c>
    </row>
    <row r="3026" spans="1:18" ht="24">
      <c r="A3026" s="406">
        <v>69.37</v>
      </c>
      <c r="B3026" s="401" t="s">
        <v>5385</v>
      </c>
      <c r="C3026" s="407" t="s">
        <v>5386</v>
      </c>
      <c r="D3026" s="408">
        <v>1227.54</v>
      </c>
      <c r="E3026" s="408">
        <v>99.96</v>
      </c>
      <c r="F3026" s="408">
        <v>1.05</v>
      </c>
      <c r="G3026" s="408">
        <v>1126.53</v>
      </c>
      <c r="H3026" s="409">
        <v>5668.13</v>
      </c>
      <c r="I3026" s="409">
        <v>1304.53</v>
      </c>
      <c r="J3026" s="409">
        <v>5.31</v>
      </c>
      <c r="K3026" s="409">
        <v>4358.29</v>
      </c>
      <c r="L3026" s="357">
        <v>4.6174707137852948</v>
      </c>
      <c r="M3026" s="357">
        <v>13.05</v>
      </c>
      <c r="N3026" s="357">
        <v>5.0571428571428569</v>
      </c>
      <c r="O3026" s="357">
        <v>3.8687740228844327</v>
      </c>
      <c r="P3026" s="410"/>
      <c r="Q3026" s="410"/>
      <c r="R3026" s="410">
        <v>10</v>
      </c>
    </row>
    <row r="3027" spans="1:18" ht="24">
      <c r="A3027" s="406">
        <v>69.38</v>
      </c>
      <c r="B3027" s="401" t="s">
        <v>5387</v>
      </c>
      <c r="C3027" s="407" t="s">
        <v>5388</v>
      </c>
      <c r="D3027" s="408">
        <v>1604.77</v>
      </c>
      <c r="E3027" s="408">
        <v>112.19</v>
      </c>
      <c r="F3027" s="408">
        <v>2.1</v>
      </c>
      <c r="G3027" s="408">
        <v>1490.48</v>
      </c>
      <c r="H3027" s="409">
        <v>7241.07</v>
      </c>
      <c r="I3027" s="409">
        <v>1464.11</v>
      </c>
      <c r="J3027" s="409">
        <v>10.61</v>
      </c>
      <c r="K3027" s="409">
        <v>5766.35</v>
      </c>
      <c r="L3027" s="357">
        <v>4.5122167039513448</v>
      </c>
      <c r="M3027" s="357">
        <v>13.05</v>
      </c>
      <c r="N3027" s="357">
        <v>5.0523809523809522</v>
      </c>
      <c r="O3027" s="357">
        <v>3.8687872363265527</v>
      </c>
      <c r="P3027" s="410"/>
      <c r="Q3027" s="410"/>
      <c r="R3027" s="410">
        <v>10</v>
      </c>
    </row>
    <row r="3028" spans="1:18" ht="24">
      <c r="A3028" s="406">
        <v>69.39</v>
      </c>
      <c r="B3028" s="401" t="s">
        <v>5389</v>
      </c>
      <c r="C3028" s="407" t="s">
        <v>5390</v>
      </c>
      <c r="D3028" s="408">
        <v>1178.8499999999999</v>
      </c>
      <c r="E3028" s="408">
        <v>102.21</v>
      </c>
      <c r="F3028" s="408">
        <v>2.1</v>
      </c>
      <c r="G3028" s="408">
        <v>1074.54</v>
      </c>
      <c r="H3028" s="409">
        <v>5501.54</v>
      </c>
      <c r="I3028" s="409">
        <v>1333.79</v>
      </c>
      <c r="J3028" s="409">
        <v>10.61</v>
      </c>
      <c r="K3028" s="409">
        <v>4157.1400000000003</v>
      </c>
      <c r="L3028" s="357">
        <v>4.6668702549094458</v>
      </c>
      <c r="M3028" s="357">
        <v>13.05</v>
      </c>
      <c r="N3028" s="357">
        <v>5.0523809523809522</v>
      </c>
      <c r="O3028" s="357">
        <v>3.8687624471867035</v>
      </c>
      <c r="P3028" s="410"/>
      <c r="Q3028" s="410"/>
      <c r="R3028" s="410">
        <v>10</v>
      </c>
    </row>
    <row r="3029" spans="1:18" ht="24">
      <c r="A3029" s="406">
        <v>69.400000000000006</v>
      </c>
      <c r="B3029" s="401" t="s">
        <v>5391</v>
      </c>
      <c r="C3029" s="407" t="s">
        <v>5392</v>
      </c>
      <c r="D3029" s="408">
        <v>1114.22</v>
      </c>
      <c r="E3029" s="408">
        <v>72.25</v>
      </c>
      <c r="F3029" s="408">
        <v>2.1</v>
      </c>
      <c r="G3029" s="408">
        <v>1039.8699999999999</v>
      </c>
      <c r="H3029" s="409">
        <v>4976.47</v>
      </c>
      <c r="I3029" s="409">
        <v>942.83</v>
      </c>
      <c r="J3029" s="409">
        <v>10.61</v>
      </c>
      <c r="K3029" s="409">
        <v>4023.03</v>
      </c>
      <c r="L3029" s="357">
        <v>4.4663262192385709</v>
      </c>
      <c r="M3029" s="357">
        <v>13.05</v>
      </c>
      <c r="N3029" s="357">
        <v>5.0523809523809522</v>
      </c>
      <c r="O3029" s="357">
        <v>3.8687816746324066</v>
      </c>
      <c r="P3029" s="410"/>
      <c r="Q3029" s="410"/>
      <c r="R3029" s="410">
        <v>10</v>
      </c>
    </row>
    <row r="3030" spans="1:18" ht="24">
      <c r="A3030" s="406">
        <v>69.41</v>
      </c>
      <c r="B3030" s="401" t="s">
        <v>5393</v>
      </c>
      <c r="C3030" s="407" t="s">
        <v>5394</v>
      </c>
      <c r="D3030" s="408">
        <v>17.73</v>
      </c>
      <c r="E3030" s="408">
        <v>17.73</v>
      </c>
      <c r="F3030" s="408"/>
      <c r="G3030" s="408"/>
      <c r="H3030" s="409">
        <v>231.39</v>
      </c>
      <c r="I3030" s="409">
        <v>231.39</v>
      </c>
      <c r="J3030" s="409"/>
      <c r="K3030" s="409"/>
      <c r="L3030" s="357">
        <v>13.050761421319796</v>
      </c>
      <c r="M3030" s="357">
        <v>13.05</v>
      </c>
      <c r="N3030" s="357" t="s">
        <v>135</v>
      </c>
      <c r="O3030" s="357" t="s">
        <v>135</v>
      </c>
      <c r="P3030" s="410"/>
      <c r="Q3030" s="410"/>
      <c r="R3030" s="410">
        <v>10</v>
      </c>
    </row>
    <row r="3031" spans="1:18" ht="24">
      <c r="A3031" s="406">
        <v>69.42</v>
      </c>
      <c r="B3031" s="401" t="s">
        <v>5395</v>
      </c>
      <c r="C3031" s="407" t="s">
        <v>5396</v>
      </c>
      <c r="D3031" s="408">
        <v>74.39</v>
      </c>
      <c r="E3031" s="408">
        <v>74.39</v>
      </c>
      <c r="F3031" s="408"/>
      <c r="G3031" s="408"/>
      <c r="H3031" s="409">
        <v>970.75</v>
      </c>
      <c r="I3031" s="409">
        <v>970.75</v>
      </c>
      <c r="J3031" s="409"/>
      <c r="K3031" s="409"/>
      <c r="L3031" s="357">
        <v>13.049469014652507</v>
      </c>
      <c r="M3031" s="357">
        <v>13.05</v>
      </c>
      <c r="N3031" s="357" t="s">
        <v>135</v>
      </c>
      <c r="O3031" s="357" t="s">
        <v>135</v>
      </c>
      <c r="P3031" s="410"/>
      <c r="Q3031" s="410"/>
      <c r="R3031" s="410">
        <v>10</v>
      </c>
    </row>
    <row r="3032" spans="1:18" ht="24">
      <c r="A3032" s="406">
        <v>69.430000000000007</v>
      </c>
      <c r="B3032" s="401" t="s">
        <v>5397</v>
      </c>
      <c r="C3032" s="407" t="s">
        <v>5398</v>
      </c>
      <c r="D3032" s="408">
        <v>88.86</v>
      </c>
      <c r="E3032" s="408">
        <v>88.86</v>
      </c>
      <c r="F3032" s="408"/>
      <c r="G3032" s="408"/>
      <c r="H3032" s="409">
        <v>1159.5899999999999</v>
      </c>
      <c r="I3032" s="409">
        <v>1159.5899999999999</v>
      </c>
      <c r="J3032" s="409"/>
      <c r="K3032" s="409"/>
      <c r="L3032" s="357">
        <v>13.049628629304523</v>
      </c>
      <c r="M3032" s="357">
        <v>13.05</v>
      </c>
      <c r="N3032" s="357" t="s">
        <v>135</v>
      </c>
      <c r="O3032" s="357" t="s">
        <v>135</v>
      </c>
      <c r="P3032" s="410"/>
      <c r="Q3032" s="410"/>
      <c r="R3032" s="410">
        <v>10</v>
      </c>
    </row>
    <row r="3033" spans="1:18" ht="24">
      <c r="A3033" s="406">
        <v>69.44</v>
      </c>
      <c r="B3033" s="401" t="s">
        <v>5399</v>
      </c>
      <c r="C3033" s="407" t="s">
        <v>5400</v>
      </c>
      <c r="D3033" s="408">
        <v>79.989999999999995</v>
      </c>
      <c r="E3033" s="408">
        <v>79.989999999999995</v>
      </c>
      <c r="F3033" s="408"/>
      <c r="G3033" s="408"/>
      <c r="H3033" s="409">
        <v>1043.8900000000001</v>
      </c>
      <c r="I3033" s="409">
        <v>1043.8900000000001</v>
      </c>
      <c r="J3033" s="409"/>
      <c r="K3033" s="409"/>
      <c r="L3033" s="357">
        <v>13.050256282035257</v>
      </c>
      <c r="M3033" s="357">
        <v>13.05</v>
      </c>
      <c r="N3033" s="357" t="s">
        <v>135</v>
      </c>
      <c r="O3033" s="357" t="s">
        <v>135</v>
      </c>
      <c r="P3033" s="410"/>
      <c r="Q3033" s="410"/>
      <c r="R3033" s="410">
        <v>10</v>
      </c>
    </row>
    <row r="3034" spans="1:18" ht="24">
      <c r="A3034" s="406">
        <v>69.45</v>
      </c>
      <c r="B3034" s="401" t="s">
        <v>5401</v>
      </c>
      <c r="C3034" s="407" t="s">
        <v>5402</v>
      </c>
      <c r="D3034" s="408">
        <v>55.54</v>
      </c>
      <c r="E3034" s="408">
        <v>55.54</v>
      </c>
      <c r="F3034" s="408"/>
      <c r="G3034" s="408"/>
      <c r="H3034" s="409">
        <v>724.74</v>
      </c>
      <c r="I3034" s="409">
        <v>724.74</v>
      </c>
      <c r="J3034" s="409"/>
      <c r="K3034" s="409"/>
      <c r="L3034" s="357">
        <v>13.048973712639539</v>
      </c>
      <c r="M3034" s="357">
        <v>13.05</v>
      </c>
      <c r="N3034" s="357" t="s">
        <v>135</v>
      </c>
      <c r="O3034" s="357" t="s">
        <v>135</v>
      </c>
      <c r="P3034" s="410"/>
      <c r="Q3034" s="410"/>
      <c r="R3034" s="410">
        <v>10</v>
      </c>
    </row>
    <row r="3035" spans="1:18" ht="36">
      <c r="A3035" s="406">
        <v>69.459999999999994</v>
      </c>
      <c r="B3035" s="401" t="s">
        <v>5403</v>
      </c>
      <c r="C3035" s="407" t="s">
        <v>5404</v>
      </c>
      <c r="D3035" s="408">
        <v>99.62</v>
      </c>
      <c r="E3035" s="408">
        <v>21.09</v>
      </c>
      <c r="F3035" s="408">
        <v>2.1</v>
      </c>
      <c r="G3035" s="408">
        <v>76.430000000000007</v>
      </c>
      <c r="H3035" s="409">
        <v>537.28</v>
      </c>
      <c r="I3035" s="409">
        <v>275.27</v>
      </c>
      <c r="J3035" s="409">
        <v>10.61</v>
      </c>
      <c r="K3035" s="409">
        <v>251.4</v>
      </c>
      <c r="L3035" s="357">
        <v>5.3932945191728567</v>
      </c>
      <c r="M3035" s="357">
        <v>13.05</v>
      </c>
      <c r="N3035" s="357">
        <v>5.0523809523809522</v>
      </c>
      <c r="O3035" s="357">
        <v>3.2892843124427578</v>
      </c>
      <c r="P3035" s="410"/>
      <c r="Q3035" s="410"/>
      <c r="R3035" s="410">
        <v>10</v>
      </c>
    </row>
    <row r="3036" spans="1:18" ht="36">
      <c r="A3036" s="406">
        <v>69.47</v>
      </c>
      <c r="B3036" s="401" t="s">
        <v>5405</v>
      </c>
      <c r="C3036" s="407" t="s">
        <v>5406</v>
      </c>
      <c r="D3036" s="408">
        <v>1207.57</v>
      </c>
      <c r="E3036" s="408">
        <v>79.989999999999995</v>
      </c>
      <c r="F3036" s="408">
        <v>1.05</v>
      </c>
      <c r="G3036" s="408">
        <v>1126.53</v>
      </c>
      <c r="H3036" s="409">
        <v>5407.49</v>
      </c>
      <c r="I3036" s="409">
        <v>1043.8900000000001</v>
      </c>
      <c r="J3036" s="409">
        <v>5.31</v>
      </c>
      <c r="K3036" s="409">
        <v>4358.29</v>
      </c>
      <c r="L3036" s="357">
        <v>4.4779929941949534</v>
      </c>
      <c r="M3036" s="357">
        <v>13.05</v>
      </c>
      <c r="N3036" s="357">
        <v>5.0571428571428569</v>
      </c>
      <c r="O3036" s="357">
        <v>3.8687740228844327</v>
      </c>
      <c r="P3036" s="410"/>
      <c r="Q3036" s="410"/>
      <c r="R3036" s="410">
        <v>10</v>
      </c>
    </row>
    <row r="3037" spans="1:18" ht="36">
      <c r="A3037" s="406">
        <v>69.48</v>
      </c>
      <c r="B3037" s="401" t="s">
        <v>5407</v>
      </c>
      <c r="C3037" s="407" t="s">
        <v>5408</v>
      </c>
      <c r="D3037" s="408">
        <v>1582.63</v>
      </c>
      <c r="E3037" s="408">
        <v>91.1</v>
      </c>
      <c r="F3037" s="408">
        <v>1.05</v>
      </c>
      <c r="G3037" s="408">
        <v>1490.48</v>
      </c>
      <c r="H3037" s="409">
        <v>6960.5</v>
      </c>
      <c r="I3037" s="409">
        <v>1188.8399999999999</v>
      </c>
      <c r="J3037" s="409">
        <v>5.31</v>
      </c>
      <c r="K3037" s="409">
        <v>5766.35</v>
      </c>
      <c r="L3037" s="357">
        <v>4.3980589272287265</v>
      </c>
      <c r="M3037" s="357">
        <v>13.05</v>
      </c>
      <c r="N3037" s="357">
        <v>5.0571428571428569</v>
      </c>
      <c r="O3037" s="357">
        <v>3.8687872363265527</v>
      </c>
      <c r="P3037" s="410"/>
      <c r="Q3037" s="410"/>
      <c r="R3037" s="410">
        <v>10</v>
      </c>
    </row>
    <row r="3038" spans="1:18" ht="36">
      <c r="A3038" s="406">
        <v>69.489999999999995</v>
      </c>
      <c r="B3038" s="401" t="s">
        <v>5409</v>
      </c>
      <c r="C3038" s="407" t="s">
        <v>5410</v>
      </c>
      <c r="D3038" s="408">
        <v>1159.99</v>
      </c>
      <c r="E3038" s="408">
        <v>83.35</v>
      </c>
      <c r="F3038" s="408">
        <v>2.1</v>
      </c>
      <c r="G3038" s="408">
        <v>1074.54</v>
      </c>
      <c r="H3038" s="409">
        <v>5255.53</v>
      </c>
      <c r="I3038" s="409">
        <v>1087.78</v>
      </c>
      <c r="J3038" s="409">
        <v>10.61</v>
      </c>
      <c r="K3038" s="409">
        <v>4157.1400000000003</v>
      </c>
      <c r="L3038" s="357">
        <v>4.5306683678307573</v>
      </c>
      <c r="M3038" s="357">
        <v>13.05</v>
      </c>
      <c r="N3038" s="357">
        <v>5.0523809523809522</v>
      </c>
      <c r="O3038" s="357">
        <v>3.8687624471867035</v>
      </c>
      <c r="P3038" s="410"/>
      <c r="Q3038" s="410"/>
      <c r="R3038" s="410">
        <v>10</v>
      </c>
    </row>
    <row r="3039" spans="1:18" ht="36">
      <c r="A3039" s="411">
        <v>69.5</v>
      </c>
      <c r="B3039" s="412" t="s">
        <v>5411</v>
      </c>
      <c r="C3039" s="413" t="s">
        <v>5412</v>
      </c>
      <c r="D3039" s="414">
        <v>1101.99</v>
      </c>
      <c r="E3039" s="414">
        <v>60.02</v>
      </c>
      <c r="F3039" s="414">
        <v>2.1</v>
      </c>
      <c r="G3039" s="414">
        <v>1039.8699999999999</v>
      </c>
      <c r="H3039" s="415">
        <v>4816.8900000000003</v>
      </c>
      <c r="I3039" s="415">
        <v>783.25</v>
      </c>
      <c r="J3039" s="415">
        <v>10.61</v>
      </c>
      <c r="K3039" s="415">
        <v>4023.03</v>
      </c>
      <c r="L3039" s="356">
        <v>4.3710832221708005</v>
      </c>
      <c r="M3039" s="356">
        <v>13.05</v>
      </c>
      <c r="N3039" s="356">
        <v>5.0523809523809522</v>
      </c>
      <c r="O3039" s="356">
        <v>3.8687816746324066</v>
      </c>
      <c r="P3039" s="416"/>
      <c r="Q3039" s="416"/>
      <c r="R3039" s="416">
        <v>10</v>
      </c>
    </row>
    <row r="3040" spans="1:18" ht="12.75">
      <c r="A3040" s="428" t="s">
        <v>5413</v>
      </c>
      <c r="B3040" s="429"/>
      <c r="C3040" s="429"/>
      <c r="D3040" s="429"/>
      <c r="E3040" s="429"/>
      <c r="F3040" s="429"/>
      <c r="G3040" s="429"/>
      <c r="H3040" s="429"/>
      <c r="I3040" s="429"/>
      <c r="J3040" s="429"/>
      <c r="K3040" s="429"/>
      <c r="L3040" s="429"/>
      <c r="M3040" s="429"/>
      <c r="N3040" s="429"/>
      <c r="O3040" s="429"/>
      <c r="P3040" s="429"/>
      <c r="Q3040" s="429"/>
      <c r="R3040" s="429"/>
    </row>
    <row r="3041" spans="1:18" ht="24">
      <c r="A3041" s="406">
        <v>69.510000000000005</v>
      </c>
      <c r="B3041" s="401" t="s">
        <v>5414</v>
      </c>
      <c r="C3041" s="407" t="s">
        <v>5415</v>
      </c>
      <c r="D3041" s="408">
        <v>33.39</v>
      </c>
      <c r="E3041" s="408">
        <v>23.3</v>
      </c>
      <c r="F3041" s="408">
        <v>10.09</v>
      </c>
      <c r="G3041" s="408"/>
      <c r="H3041" s="409">
        <v>422.33</v>
      </c>
      <c r="I3041" s="409">
        <v>304.08</v>
      </c>
      <c r="J3041" s="409">
        <v>118.25</v>
      </c>
      <c r="K3041" s="409"/>
      <c r="L3041" s="357">
        <v>12.648397723869421</v>
      </c>
      <c r="M3041" s="357">
        <v>13.05</v>
      </c>
      <c r="N3041" s="357">
        <v>11.719524281466798</v>
      </c>
      <c r="O3041" s="357" t="s">
        <v>135</v>
      </c>
      <c r="P3041" s="410"/>
      <c r="Q3041" s="410"/>
      <c r="R3041" s="410">
        <v>11</v>
      </c>
    </row>
    <row r="3042" spans="1:18" ht="24">
      <c r="A3042" s="406">
        <v>69.52</v>
      </c>
      <c r="B3042" s="401" t="s">
        <v>5416</v>
      </c>
      <c r="C3042" s="407" t="s">
        <v>5417</v>
      </c>
      <c r="D3042" s="408">
        <v>42.71</v>
      </c>
      <c r="E3042" s="408">
        <v>32.619999999999997</v>
      </c>
      <c r="F3042" s="408">
        <v>10.09</v>
      </c>
      <c r="G3042" s="408"/>
      <c r="H3042" s="409">
        <v>543.96</v>
      </c>
      <c r="I3042" s="409">
        <v>425.71</v>
      </c>
      <c r="J3042" s="409">
        <v>118.25</v>
      </c>
      <c r="K3042" s="409"/>
      <c r="L3042" s="357">
        <v>12.736127370639196</v>
      </c>
      <c r="M3042" s="357">
        <v>13.05</v>
      </c>
      <c r="N3042" s="357">
        <v>11.719524281466798</v>
      </c>
      <c r="O3042" s="357" t="s">
        <v>135</v>
      </c>
      <c r="P3042" s="410"/>
      <c r="Q3042" s="410"/>
      <c r="R3042" s="410">
        <v>11</v>
      </c>
    </row>
    <row r="3043" spans="1:18" ht="24">
      <c r="A3043" s="406">
        <v>69.53</v>
      </c>
      <c r="B3043" s="401" t="s">
        <v>5418</v>
      </c>
      <c r="C3043" s="407" t="s">
        <v>5419</v>
      </c>
      <c r="D3043" s="408">
        <v>42.02</v>
      </c>
      <c r="E3043" s="408">
        <v>25.63</v>
      </c>
      <c r="F3043" s="408">
        <v>16.39</v>
      </c>
      <c r="G3043" s="408"/>
      <c r="H3043" s="409">
        <v>526.42999999999995</v>
      </c>
      <c r="I3043" s="409">
        <v>334.48</v>
      </c>
      <c r="J3043" s="409">
        <v>191.95</v>
      </c>
      <c r="K3043" s="409"/>
      <c r="L3043" s="357">
        <v>12.5280818657782</v>
      </c>
      <c r="M3043" s="357">
        <v>13.05</v>
      </c>
      <c r="N3043" s="357">
        <v>11.711409395973153</v>
      </c>
      <c r="O3043" s="357" t="s">
        <v>135</v>
      </c>
      <c r="P3043" s="410"/>
      <c r="Q3043" s="410"/>
      <c r="R3043" s="410">
        <v>11</v>
      </c>
    </row>
    <row r="3044" spans="1:18" ht="36">
      <c r="A3044" s="406">
        <v>69.540000000000006</v>
      </c>
      <c r="B3044" s="401" t="s">
        <v>5420</v>
      </c>
      <c r="C3044" s="407" t="s">
        <v>5421</v>
      </c>
      <c r="D3044" s="408">
        <v>35.72</v>
      </c>
      <c r="E3044" s="408">
        <v>25.63</v>
      </c>
      <c r="F3044" s="408">
        <v>10.09</v>
      </c>
      <c r="G3044" s="408"/>
      <c r="H3044" s="409">
        <v>452.73</v>
      </c>
      <c r="I3044" s="409">
        <v>334.48</v>
      </c>
      <c r="J3044" s="409">
        <v>118.25</v>
      </c>
      <c r="K3044" s="409"/>
      <c r="L3044" s="357">
        <v>12.67441209406495</v>
      </c>
      <c r="M3044" s="357">
        <v>13.05</v>
      </c>
      <c r="N3044" s="357">
        <v>11.719524281466798</v>
      </c>
      <c r="O3044" s="357" t="s">
        <v>135</v>
      </c>
      <c r="P3044" s="410"/>
      <c r="Q3044" s="410"/>
      <c r="R3044" s="410">
        <v>11</v>
      </c>
    </row>
    <row r="3045" spans="1:18" ht="36">
      <c r="A3045" s="406">
        <v>69.55</v>
      </c>
      <c r="B3045" s="401" t="s">
        <v>5422</v>
      </c>
      <c r="C3045" s="407" t="s">
        <v>5423</v>
      </c>
      <c r="D3045" s="408">
        <v>32.979999999999997</v>
      </c>
      <c r="E3045" s="408">
        <v>16.59</v>
      </c>
      <c r="F3045" s="408">
        <v>16.39</v>
      </c>
      <c r="G3045" s="408"/>
      <c r="H3045" s="409">
        <v>408.45</v>
      </c>
      <c r="I3045" s="409">
        <v>216.5</v>
      </c>
      <c r="J3045" s="409">
        <v>191.95</v>
      </c>
      <c r="K3045" s="409"/>
      <c r="L3045" s="357">
        <v>12.384778653729533</v>
      </c>
      <c r="M3045" s="357">
        <v>13.05</v>
      </c>
      <c r="N3045" s="357">
        <v>11.711409395973153</v>
      </c>
      <c r="O3045" s="357" t="s">
        <v>135</v>
      </c>
      <c r="P3045" s="410"/>
      <c r="Q3045" s="410"/>
      <c r="R3045" s="410">
        <v>11</v>
      </c>
    </row>
    <row r="3046" spans="1:18" ht="36">
      <c r="A3046" s="406">
        <v>69.56</v>
      </c>
      <c r="B3046" s="401" t="s">
        <v>5424</v>
      </c>
      <c r="C3046" s="407" t="s">
        <v>5425</v>
      </c>
      <c r="D3046" s="408">
        <v>52.09</v>
      </c>
      <c r="E3046" s="408">
        <v>30.29</v>
      </c>
      <c r="F3046" s="408">
        <v>21.8</v>
      </c>
      <c r="G3046" s="408"/>
      <c r="H3046" s="409">
        <v>650.66</v>
      </c>
      <c r="I3046" s="409">
        <v>395.3</v>
      </c>
      <c r="J3046" s="409">
        <v>255.36</v>
      </c>
      <c r="K3046" s="409"/>
      <c r="L3046" s="357">
        <v>12.491073142637742</v>
      </c>
      <c r="M3046" s="357">
        <v>13.05</v>
      </c>
      <c r="N3046" s="357">
        <v>11.713761467889908</v>
      </c>
      <c r="O3046" s="357" t="s">
        <v>135</v>
      </c>
      <c r="P3046" s="410"/>
      <c r="Q3046" s="410"/>
      <c r="R3046" s="410">
        <v>11</v>
      </c>
    </row>
    <row r="3047" spans="1:18" ht="36">
      <c r="A3047" s="411">
        <v>69.569999999999993</v>
      </c>
      <c r="B3047" s="412" t="s">
        <v>5426</v>
      </c>
      <c r="C3047" s="413" t="s">
        <v>5427</v>
      </c>
      <c r="D3047" s="414">
        <v>43.7</v>
      </c>
      <c r="E3047" s="414">
        <v>16.78</v>
      </c>
      <c r="F3047" s="414">
        <v>26.92</v>
      </c>
      <c r="G3047" s="414"/>
      <c r="H3047" s="415">
        <v>534.27</v>
      </c>
      <c r="I3047" s="415">
        <v>218.93</v>
      </c>
      <c r="J3047" s="415">
        <v>315.33999999999997</v>
      </c>
      <c r="K3047" s="415"/>
      <c r="L3047" s="356">
        <v>12.225858123569793</v>
      </c>
      <c r="M3047" s="356">
        <v>13.05</v>
      </c>
      <c r="N3047" s="356">
        <v>11.713967310549775</v>
      </c>
      <c r="O3047" s="356" t="s">
        <v>135</v>
      </c>
      <c r="P3047" s="416"/>
      <c r="Q3047" s="416"/>
      <c r="R3047" s="416">
        <v>11</v>
      </c>
    </row>
    <row r="3048" spans="1:18" ht="12.75">
      <c r="A3048" s="428" t="s">
        <v>5428</v>
      </c>
      <c r="B3048" s="429"/>
      <c r="C3048" s="429"/>
      <c r="D3048" s="429"/>
      <c r="E3048" s="429"/>
      <c r="F3048" s="429"/>
      <c r="G3048" s="429"/>
      <c r="H3048" s="429"/>
      <c r="I3048" s="429"/>
      <c r="J3048" s="429"/>
      <c r="K3048" s="429"/>
      <c r="L3048" s="429"/>
      <c r="M3048" s="429"/>
      <c r="N3048" s="429"/>
      <c r="O3048" s="429"/>
      <c r="P3048" s="429"/>
      <c r="Q3048" s="429"/>
      <c r="R3048" s="429"/>
    </row>
    <row r="3049" spans="1:18">
      <c r="A3049" s="406">
        <v>69.58</v>
      </c>
      <c r="B3049" s="401" t="s">
        <v>5429</v>
      </c>
      <c r="C3049" s="407" t="s">
        <v>5430</v>
      </c>
      <c r="D3049" s="408">
        <v>29.36</v>
      </c>
      <c r="E3049" s="408">
        <v>29.36</v>
      </c>
      <c r="F3049" s="408"/>
      <c r="G3049" s="408"/>
      <c r="H3049" s="409">
        <v>383.13</v>
      </c>
      <c r="I3049" s="409">
        <v>383.13</v>
      </c>
      <c r="J3049" s="409"/>
      <c r="K3049" s="409"/>
      <c r="L3049" s="357">
        <v>13.049386920980927</v>
      </c>
      <c r="M3049" s="357">
        <v>13.05</v>
      </c>
      <c r="N3049" s="357" t="s">
        <v>135</v>
      </c>
      <c r="O3049" s="357" t="s">
        <v>135</v>
      </c>
      <c r="P3049" s="410"/>
      <c r="Q3049" s="410"/>
      <c r="R3049" s="410">
        <v>12</v>
      </c>
    </row>
    <row r="3050" spans="1:18" ht="24">
      <c r="A3050" s="406">
        <v>69.59</v>
      </c>
      <c r="B3050" s="401" t="s">
        <v>5431</v>
      </c>
      <c r="C3050" s="407" t="s">
        <v>5432</v>
      </c>
      <c r="D3050" s="408">
        <v>32.15</v>
      </c>
      <c r="E3050" s="408">
        <v>32.15</v>
      </c>
      <c r="F3050" s="408"/>
      <c r="G3050" s="408"/>
      <c r="H3050" s="409">
        <v>419.62</v>
      </c>
      <c r="I3050" s="409">
        <v>419.62</v>
      </c>
      <c r="J3050" s="409"/>
      <c r="K3050" s="409"/>
      <c r="L3050" s="357">
        <v>13.05194401244168</v>
      </c>
      <c r="M3050" s="357">
        <v>13.05</v>
      </c>
      <c r="N3050" s="357" t="s">
        <v>135</v>
      </c>
      <c r="O3050" s="357" t="s">
        <v>135</v>
      </c>
      <c r="P3050" s="410"/>
      <c r="Q3050" s="410"/>
      <c r="R3050" s="410">
        <v>12</v>
      </c>
    </row>
    <row r="3051" spans="1:18" ht="24">
      <c r="A3051" s="406">
        <v>69.599999999999994</v>
      </c>
      <c r="B3051" s="401" t="s">
        <v>5433</v>
      </c>
      <c r="C3051" s="407" t="s">
        <v>5434</v>
      </c>
      <c r="D3051" s="408">
        <v>26.56</v>
      </c>
      <c r="E3051" s="408">
        <v>26.56</v>
      </c>
      <c r="F3051" s="408"/>
      <c r="G3051" s="408"/>
      <c r="H3051" s="409">
        <v>346.65</v>
      </c>
      <c r="I3051" s="409">
        <v>346.65</v>
      </c>
      <c r="J3051" s="409"/>
      <c r="K3051" s="409"/>
      <c r="L3051" s="357">
        <v>13.051581325301205</v>
      </c>
      <c r="M3051" s="357">
        <v>13.05</v>
      </c>
      <c r="N3051" s="357" t="s">
        <v>135</v>
      </c>
      <c r="O3051" s="357" t="s">
        <v>135</v>
      </c>
      <c r="P3051" s="410"/>
      <c r="Q3051" s="410"/>
      <c r="R3051" s="410">
        <v>12</v>
      </c>
    </row>
    <row r="3052" spans="1:18" ht="24">
      <c r="A3052" s="406">
        <v>69.61</v>
      </c>
      <c r="B3052" s="401" t="s">
        <v>5435</v>
      </c>
      <c r="C3052" s="407" t="s">
        <v>5436</v>
      </c>
      <c r="D3052" s="408">
        <v>32.15</v>
      </c>
      <c r="E3052" s="408">
        <v>32.15</v>
      </c>
      <c r="F3052" s="408"/>
      <c r="G3052" s="408"/>
      <c r="H3052" s="409">
        <v>419.62</v>
      </c>
      <c r="I3052" s="409">
        <v>419.62</v>
      </c>
      <c r="J3052" s="409"/>
      <c r="K3052" s="409"/>
      <c r="L3052" s="357">
        <v>13.05194401244168</v>
      </c>
      <c r="M3052" s="357">
        <v>13.05</v>
      </c>
      <c r="N3052" s="357" t="s">
        <v>135</v>
      </c>
      <c r="O3052" s="357" t="s">
        <v>135</v>
      </c>
      <c r="P3052" s="410"/>
      <c r="Q3052" s="410"/>
      <c r="R3052" s="410">
        <v>12</v>
      </c>
    </row>
    <row r="3053" spans="1:18" ht="24">
      <c r="A3053" s="406">
        <v>69.62</v>
      </c>
      <c r="B3053" s="401" t="s">
        <v>5437</v>
      </c>
      <c r="C3053" s="407" t="s">
        <v>5438</v>
      </c>
      <c r="D3053" s="408">
        <v>23.77</v>
      </c>
      <c r="E3053" s="408">
        <v>23.77</v>
      </c>
      <c r="F3053" s="408"/>
      <c r="G3053" s="408"/>
      <c r="H3053" s="409">
        <v>310.16000000000003</v>
      </c>
      <c r="I3053" s="409">
        <v>310.16000000000003</v>
      </c>
      <c r="J3053" s="409"/>
      <c r="K3053" s="409"/>
      <c r="L3053" s="357">
        <v>13.048380311316787</v>
      </c>
      <c r="M3053" s="357">
        <v>13.05</v>
      </c>
      <c r="N3053" s="357" t="s">
        <v>135</v>
      </c>
      <c r="O3053" s="357" t="s">
        <v>135</v>
      </c>
      <c r="P3053" s="410"/>
      <c r="Q3053" s="410"/>
      <c r="R3053" s="410">
        <v>12</v>
      </c>
    </row>
    <row r="3054" spans="1:18" ht="24">
      <c r="A3054" s="406">
        <v>69.63</v>
      </c>
      <c r="B3054" s="401" t="s">
        <v>5439</v>
      </c>
      <c r="C3054" s="407" t="s">
        <v>5440</v>
      </c>
      <c r="D3054" s="408">
        <v>36.35</v>
      </c>
      <c r="E3054" s="408">
        <v>36.35</v>
      </c>
      <c r="F3054" s="408"/>
      <c r="G3054" s="408"/>
      <c r="H3054" s="409">
        <v>474.36</v>
      </c>
      <c r="I3054" s="409">
        <v>474.36</v>
      </c>
      <c r="J3054" s="409"/>
      <c r="K3054" s="409"/>
      <c r="L3054" s="357">
        <v>13.049793672627235</v>
      </c>
      <c r="M3054" s="357">
        <v>13.05</v>
      </c>
      <c r="N3054" s="357" t="s">
        <v>135</v>
      </c>
      <c r="O3054" s="357" t="s">
        <v>135</v>
      </c>
      <c r="P3054" s="410"/>
      <c r="Q3054" s="410"/>
      <c r="R3054" s="410">
        <v>12</v>
      </c>
    </row>
    <row r="3055" spans="1:18" ht="24">
      <c r="A3055" s="411">
        <v>69.64</v>
      </c>
      <c r="B3055" s="412" t="s">
        <v>5441</v>
      </c>
      <c r="C3055" s="413" t="s">
        <v>5442</v>
      </c>
      <c r="D3055" s="414">
        <v>48.93</v>
      </c>
      <c r="E3055" s="414">
        <v>48.93</v>
      </c>
      <c r="F3055" s="414"/>
      <c r="G3055" s="414"/>
      <c r="H3055" s="415">
        <v>638.55999999999995</v>
      </c>
      <c r="I3055" s="415">
        <v>638.55999999999995</v>
      </c>
      <c r="J3055" s="415"/>
      <c r="K3055" s="415"/>
      <c r="L3055" s="356">
        <v>13.050480277948088</v>
      </c>
      <c r="M3055" s="356">
        <v>13.05</v>
      </c>
      <c r="N3055" s="356" t="s">
        <v>135</v>
      </c>
      <c r="O3055" s="356" t="s">
        <v>135</v>
      </c>
      <c r="P3055" s="416"/>
      <c r="Q3055" s="416"/>
      <c r="R3055" s="416">
        <v>12</v>
      </c>
    </row>
    <row r="3056" spans="1:18" ht="12.75">
      <c r="A3056" s="428" t="s">
        <v>5443</v>
      </c>
      <c r="B3056" s="429"/>
      <c r="C3056" s="429"/>
      <c r="D3056" s="429"/>
      <c r="E3056" s="429"/>
      <c r="F3056" s="429"/>
      <c r="G3056" s="429"/>
      <c r="H3056" s="429"/>
      <c r="I3056" s="429"/>
      <c r="J3056" s="429"/>
      <c r="K3056" s="429"/>
      <c r="L3056" s="429"/>
      <c r="M3056" s="429"/>
      <c r="N3056" s="429"/>
      <c r="O3056" s="429"/>
      <c r="P3056" s="429"/>
      <c r="Q3056" s="429"/>
      <c r="R3056" s="429"/>
    </row>
    <row r="3057" spans="1:18">
      <c r="A3057" s="411">
        <v>69.650000000000006</v>
      </c>
      <c r="B3057" s="412" t="s">
        <v>5444</v>
      </c>
      <c r="C3057" s="413" t="s">
        <v>5445</v>
      </c>
      <c r="D3057" s="414">
        <v>625.80999999999995</v>
      </c>
      <c r="E3057" s="414">
        <v>158.11000000000001</v>
      </c>
      <c r="F3057" s="414">
        <v>467.7</v>
      </c>
      <c r="G3057" s="414"/>
      <c r="H3057" s="415">
        <v>5908.46</v>
      </c>
      <c r="I3057" s="415">
        <v>2063.39</v>
      </c>
      <c r="J3057" s="415">
        <v>3845.07</v>
      </c>
      <c r="K3057" s="415"/>
      <c r="L3057" s="356">
        <v>9.4413000751026672</v>
      </c>
      <c r="M3057" s="356">
        <v>13.05</v>
      </c>
      <c r="N3057" s="356">
        <v>8.2212315586914695</v>
      </c>
      <c r="O3057" s="356" t="s">
        <v>135</v>
      </c>
      <c r="P3057" s="416"/>
      <c r="Q3057" s="416"/>
      <c r="R3057" s="416">
        <v>13</v>
      </c>
    </row>
    <row r="3058" spans="1:18" ht="12.75">
      <c r="A3058" s="428" t="s">
        <v>5446</v>
      </c>
      <c r="B3058" s="429"/>
      <c r="C3058" s="429"/>
      <c r="D3058" s="429"/>
      <c r="E3058" s="429"/>
      <c r="F3058" s="429"/>
      <c r="G3058" s="429"/>
      <c r="H3058" s="429"/>
      <c r="I3058" s="429"/>
      <c r="J3058" s="429"/>
      <c r="K3058" s="429"/>
      <c r="L3058" s="429"/>
      <c r="M3058" s="429"/>
      <c r="N3058" s="429"/>
      <c r="O3058" s="429"/>
      <c r="P3058" s="429"/>
      <c r="Q3058" s="429"/>
      <c r="R3058" s="429"/>
    </row>
    <row r="3059" spans="1:18">
      <c r="A3059" s="411">
        <v>69.66</v>
      </c>
      <c r="B3059" s="412" t="s">
        <v>5447</v>
      </c>
      <c r="C3059" s="413" t="s">
        <v>5448</v>
      </c>
      <c r="D3059" s="414">
        <v>213.23</v>
      </c>
      <c r="E3059" s="414">
        <v>26.43</v>
      </c>
      <c r="F3059" s="414"/>
      <c r="G3059" s="414">
        <v>186.8</v>
      </c>
      <c r="H3059" s="415">
        <v>1623.62</v>
      </c>
      <c r="I3059" s="415">
        <v>344.86</v>
      </c>
      <c r="J3059" s="415"/>
      <c r="K3059" s="415">
        <v>1278.76</v>
      </c>
      <c r="L3059" s="356">
        <v>7.6144069783801527</v>
      </c>
      <c r="M3059" s="356">
        <v>13.05</v>
      </c>
      <c r="N3059" s="356" t="s">
        <v>135</v>
      </c>
      <c r="O3059" s="356">
        <v>6.8456102783725905</v>
      </c>
      <c r="P3059" s="416"/>
      <c r="Q3059" s="416"/>
      <c r="R3059" s="416">
        <v>14</v>
      </c>
    </row>
    <row r="3060" spans="1:18" ht="12.75">
      <c r="A3060" s="428" t="s">
        <v>5449</v>
      </c>
      <c r="B3060" s="429"/>
      <c r="C3060" s="429"/>
      <c r="D3060" s="429"/>
      <c r="E3060" s="429"/>
      <c r="F3060" s="429"/>
      <c r="G3060" s="429"/>
      <c r="H3060" s="429"/>
      <c r="I3060" s="429"/>
      <c r="J3060" s="429"/>
      <c r="K3060" s="429"/>
      <c r="L3060" s="429"/>
      <c r="M3060" s="429"/>
      <c r="N3060" s="429"/>
      <c r="O3060" s="429"/>
      <c r="P3060" s="429"/>
      <c r="Q3060" s="429"/>
      <c r="R3060" s="429"/>
    </row>
    <row r="3061" spans="1:18">
      <c r="A3061" s="411">
        <v>69.67</v>
      </c>
      <c r="B3061" s="412" t="s">
        <v>5450</v>
      </c>
      <c r="C3061" s="413" t="s">
        <v>5451</v>
      </c>
      <c r="D3061" s="414">
        <v>30.05</v>
      </c>
      <c r="E3061" s="414">
        <v>8.85</v>
      </c>
      <c r="F3061" s="414"/>
      <c r="G3061" s="414">
        <v>21.2</v>
      </c>
      <c r="H3061" s="415">
        <v>351.66</v>
      </c>
      <c r="I3061" s="415">
        <v>115.46</v>
      </c>
      <c r="J3061" s="415"/>
      <c r="K3061" s="415">
        <v>236.2</v>
      </c>
      <c r="L3061" s="356">
        <v>11.702495840266224</v>
      </c>
      <c r="M3061" s="356">
        <v>13.05</v>
      </c>
      <c r="N3061" s="356" t="s">
        <v>135</v>
      </c>
      <c r="O3061" s="356">
        <v>11.141509433962264</v>
      </c>
      <c r="P3061" s="416"/>
      <c r="Q3061" s="416"/>
      <c r="R3061" s="416">
        <v>15</v>
      </c>
    </row>
    <row r="3062" spans="1:18" ht="12.75">
      <c r="A3062" s="428" t="s">
        <v>5452</v>
      </c>
      <c r="B3062" s="429"/>
      <c r="C3062" s="429"/>
      <c r="D3062" s="429"/>
      <c r="E3062" s="429"/>
      <c r="F3062" s="429"/>
      <c r="G3062" s="429"/>
      <c r="H3062" s="429"/>
      <c r="I3062" s="429"/>
      <c r="J3062" s="429"/>
      <c r="K3062" s="429"/>
      <c r="L3062" s="429"/>
      <c r="M3062" s="429"/>
      <c r="N3062" s="429"/>
      <c r="O3062" s="429"/>
      <c r="P3062" s="429"/>
      <c r="Q3062" s="429"/>
      <c r="R3062" s="429"/>
    </row>
    <row r="3063" spans="1:18" ht="24">
      <c r="A3063" s="406">
        <v>69.680000000000007</v>
      </c>
      <c r="B3063" s="401" t="s">
        <v>5453</v>
      </c>
      <c r="C3063" s="407" t="s">
        <v>5454</v>
      </c>
      <c r="D3063" s="408">
        <v>7801.3</v>
      </c>
      <c r="E3063" s="408">
        <v>590.15</v>
      </c>
      <c r="F3063" s="408">
        <v>2635.63</v>
      </c>
      <c r="G3063" s="408">
        <v>4575.5200000000004</v>
      </c>
      <c r="H3063" s="409">
        <v>53266.22</v>
      </c>
      <c r="I3063" s="409">
        <v>7701.69</v>
      </c>
      <c r="J3063" s="409">
        <v>15592.2</v>
      </c>
      <c r="K3063" s="409">
        <v>29972.33</v>
      </c>
      <c r="L3063" s="357">
        <v>6.8278645866714518</v>
      </c>
      <c r="M3063" s="357">
        <v>13.05</v>
      </c>
      <c r="N3063" s="357">
        <v>5.9159290188683542</v>
      </c>
      <c r="O3063" s="357">
        <v>6.5505844144490677</v>
      </c>
      <c r="P3063" s="410"/>
      <c r="Q3063" s="410"/>
      <c r="R3063" s="410">
        <v>16</v>
      </c>
    </row>
    <row r="3064" spans="1:18">
      <c r="A3064" s="411">
        <v>69.69</v>
      </c>
      <c r="B3064" s="412" t="s">
        <v>5455</v>
      </c>
      <c r="C3064" s="413" t="s">
        <v>5456</v>
      </c>
      <c r="D3064" s="414">
        <v>14804.84</v>
      </c>
      <c r="E3064" s="414">
        <v>1223.25</v>
      </c>
      <c r="F3064" s="414">
        <v>3637.86</v>
      </c>
      <c r="G3064" s="414">
        <v>9943.73</v>
      </c>
      <c r="H3064" s="415">
        <v>89871.54</v>
      </c>
      <c r="I3064" s="415">
        <v>15962.98</v>
      </c>
      <c r="J3064" s="415">
        <v>21750.61</v>
      </c>
      <c r="K3064" s="415">
        <v>52157.95</v>
      </c>
      <c r="L3064" s="356">
        <v>6.0704161612013365</v>
      </c>
      <c r="M3064" s="356">
        <v>13.05</v>
      </c>
      <c r="N3064" s="356">
        <v>5.9789574090261857</v>
      </c>
      <c r="O3064" s="356">
        <v>5.2453103614036181</v>
      </c>
      <c r="P3064" s="416"/>
      <c r="Q3064" s="416"/>
      <c r="R3064" s="416">
        <v>16</v>
      </c>
    </row>
    <row r="3065" spans="1:18" ht="12.75">
      <c r="A3065" s="428" t="s">
        <v>5457</v>
      </c>
      <c r="B3065" s="429"/>
      <c r="C3065" s="429"/>
      <c r="D3065" s="429"/>
      <c r="E3065" s="429"/>
      <c r="F3065" s="429"/>
      <c r="G3065" s="429"/>
      <c r="H3065" s="429"/>
      <c r="I3065" s="429"/>
      <c r="J3065" s="429"/>
      <c r="K3065" s="429"/>
      <c r="L3065" s="429"/>
      <c r="M3065" s="429"/>
      <c r="N3065" s="429"/>
      <c r="O3065" s="429"/>
      <c r="P3065" s="429"/>
      <c r="Q3065" s="429"/>
      <c r="R3065" s="429"/>
    </row>
    <row r="3066" spans="1:18" ht="24">
      <c r="A3066" s="406">
        <v>69.7</v>
      </c>
      <c r="B3066" s="401" t="s">
        <v>5458</v>
      </c>
      <c r="C3066" s="407" t="s">
        <v>5459</v>
      </c>
      <c r="D3066" s="408">
        <v>3.93</v>
      </c>
      <c r="E3066" s="408">
        <v>3.93</v>
      </c>
      <c r="F3066" s="408"/>
      <c r="G3066" s="408"/>
      <c r="H3066" s="409">
        <v>51.34</v>
      </c>
      <c r="I3066" s="409">
        <v>51.34</v>
      </c>
      <c r="J3066" s="409"/>
      <c r="K3066" s="409"/>
      <c r="L3066" s="357">
        <v>13.063613231552162</v>
      </c>
      <c r="M3066" s="357">
        <v>13.05</v>
      </c>
      <c r="N3066" s="357" t="s">
        <v>135</v>
      </c>
      <c r="O3066" s="357" t="s">
        <v>135</v>
      </c>
      <c r="P3066" s="410"/>
      <c r="Q3066" s="410"/>
      <c r="R3066" s="410">
        <v>17</v>
      </c>
    </row>
    <row r="3067" spans="1:18">
      <c r="A3067" s="406">
        <v>69.709999999999994</v>
      </c>
      <c r="B3067" s="401" t="s">
        <v>5460</v>
      </c>
      <c r="C3067" s="407" t="s">
        <v>5461</v>
      </c>
      <c r="D3067" s="408">
        <v>22.59</v>
      </c>
      <c r="E3067" s="408">
        <v>22.59</v>
      </c>
      <c r="F3067" s="408"/>
      <c r="G3067" s="408"/>
      <c r="H3067" s="409">
        <v>294.83</v>
      </c>
      <c r="I3067" s="409">
        <v>294.83</v>
      </c>
      <c r="J3067" s="409"/>
      <c r="K3067" s="409"/>
      <c r="L3067" s="357">
        <v>13.051350154935811</v>
      </c>
      <c r="M3067" s="357">
        <v>13.05</v>
      </c>
      <c r="N3067" s="357" t="s">
        <v>135</v>
      </c>
      <c r="O3067" s="357" t="s">
        <v>135</v>
      </c>
      <c r="P3067" s="410"/>
      <c r="Q3067" s="410"/>
      <c r="R3067" s="410">
        <v>17</v>
      </c>
    </row>
    <row r="3068" spans="1:18">
      <c r="A3068" s="406">
        <v>69.72</v>
      </c>
      <c r="B3068" s="401" t="s">
        <v>5462</v>
      </c>
      <c r="C3068" s="407" t="s">
        <v>5463</v>
      </c>
      <c r="D3068" s="408">
        <v>23.39</v>
      </c>
      <c r="E3068" s="408">
        <v>23.15</v>
      </c>
      <c r="F3068" s="408">
        <v>0.24</v>
      </c>
      <c r="G3068" s="408"/>
      <c r="H3068" s="409">
        <v>303.85000000000002</v>
      </c>
      <c r="I3068" s="409">
        <v>302.16000000000003</v>
      </c>
      <c r="J3068" s="409">
        <v>1.69</v>
      </c>
      <c r="K3068" s="409"/>
      <c r="L3068" s="357">
        <v>12.990594271056008</v>
      </c>
      <c r="M3068" s="357">
        <v>13.05</v>
      </c>
      <c r="N3068" s="357">
        <v>7.041666666666667</v>
      </c>
      <c r="O3068" s="357" t="s">
        <v>135</v>
      </c>
      <c r="P3068" s="410"/>
      <c r="Q3068" s="410"/>
      <c r="R3068" s="410">
        <v>17</v>
      </c>
    </row>
    <row r="3069" spans="1:18" ht="24">
      <c r="A3069" s="406">
        <v>69.73</v>
      </c>
      <c r="B3069" s="401" t="s">
        <v>5464</v>
      </c>
      <c r="C3069" s="407" t="s">
        <v>5465</v>
      </c>
      <c r="D3069" s="408">
        <v>11.26</v>
      </c>
      <c r="E3069" s="408">
        <v>8.43</v>
      </c>
      <c r="F3069" s="408">
        <v>1.24</v>
      </c>
      <c r="G3069" s="408">
        <v>1.59</v>
      </c>
      <c r="H3069" s="409">
        <v>130.26</v>
      </c>
      <c r="I3069" s="409">
        <v>110.01</v>
      </c>
      <c r="J3069" s="409">
        <v>8.4600000000000009</v>
      </c>
      <c r="K3069" s="409">
        <v>11.79</v>
      </c>
      <c r="L3069" s="357">
        <v>11.568383658969804</v>
      </c>
      <c r="M3069" s="357">
        <v>13.05</v>
      </c>
      <c r="N3069" s="357">
        <v>6.8225806451612909</v>
      </c>
      <c r="O3069" s="357">
        <v>7.415094339622641</v>
      </c>
      <c r="P3069" s="410"/>
      <c r="Q3069" s="410"/>
      <c r="R3069" s="410">
        <v>17</v>
      </c>
    </row>
    <row r="3070" spans="1:18" ht="24">
      <c r="A3070" s="406">
        <v>69.739999999999995</v>
      </c>
      <c r="B3070" s="401" t="s">
        <v>5466</v>
      </c>
      <c r="C3070" s="407" t="s">
        <v>5467</v>
      </c>
      <c r="D3070" s="408">
        <v>14.56</v>
      </c>
      <c r="E3070" s="408">
        <v>8.65</v>
      </c>
      <c r="F3070" s="408">
        <v>3.19</v>
      </c>
      <c r="G3070" s="408">
        <v>2.72</v>
      </c>
      <c r="H3070" s="409">
        <v>154.6</v>
      </c>
      <c r="I3070" s="409">
        <v>112.94</v>
      </c>
      <c r="J3070" s="409">
        <v>21.48</v>
      </c>
      <c r="K3070" s="409">
        <v>20.18</v>
      </c>
      <c r="L3070" s="357">
        <v>10.618131868131867</v>
      </c>
      <c r="M3070" s="357">
        <v>13.05</v>
      </c>
      <c r="N3070" s="357">
        <v>6.7335423197492164</v>
      </c>
      <c r="O3070" s="357">
        <v>7.4191176470588225</v>
      </c>
      <c r="P3070" s="410"/>
      <c r="Q3070" s="410"/>
      <c r="R3070" s="410">
        <v>17</v>
      </c>
    </row>
    <row r="3071" spans="1:18" ht="24">
      <c r="A3071" s="406">
        <v>69.75</v>
      </c>
      <c r="B3071" s="401" t="s">
        <v>5468</v>
      </c>
      <c r="C3071" s="407" t="s">
        <v>5469</v>
      </c>
      <c r="D3071" s="408">
        <v>17.98</v>
      </c>
      <c r="E3071" s="408">
        <v>6.97</v>
      </c>
      <c r="F3071" s="408">
        <v>0.46</v>
      </c>
      <c r="G3071" s="408">
        <v>10.55</v>
      </c>
      <c r="H3071" s="409">
        <v>147.65</v>
      </c>
      <c r="I3071" s="409">
        <v>90.94</v>
      </c>
      <c r="J3071" s="409">
        <v>3.06</v>
      </c>
      <c r="K3071" s="409">
        <v>53.65</v>
      </c>
      <c r="L3071" s="357">
        <v>8.2119021134593986</v>
      </c>
      <c r="M3071" s="357">
        <v>13.05</v>
      </c>
      <c r="N3071" s="357">
        <v>6.6521739130434785</v>
      </c>
      <c r="O3071" s="357">
        <v>5.0853080568720372</v>
      </c>
      <c r="P3071" s="410"/>
      <c r="Q3071" s="410"/>
      <c r="R3071" s="410">
        <v>17</v>
      </c>
    </row>
    <row r="3072" spans="1:18">
      <c r="A3072" s="411">
        <v>69.760000000000005</v>
      </c>
      <c r="B3072" s="412" t="s">
        <v>5470</v>
      </c>
      <c r="C3072" s="413" t="s">
        <v>5471</v>
      </c>
      <c r="D3072" s="414">
        <v>10.19</v>
      </c>
      <c r="E3072" s="414">
        <v>4.83</v>
      </c>
      <c r="F3072" s="414">
        <v>2.4300000000000002</v>
      </c>
      <c r="G3072" s="414">
        <v>2.93</v>
      </c>
      <c r="H3072" s="415">
        <v>101.47</v>
      </c>
      <c r="I3072" s="415">
        <v>63.07</v>
      </c>
      <c r="J3072" s="415">
        <v>16.68</v>
      </c>
      <c r="K3072" s="415">
        <v>21.72</v>
      </c>
      <c r="L3072" s="356">
        <v>9.9578017664376848</v>
      </c>
      <c r="M3072" s="356">
        <v>13.05</v>
      </c>
      <c r="N3072" s="356">
        <v>6.8641975308641969</v>
      </c>
      <c r="O3072" s="356">
        <v>7.4129692832764498</v>
      </c>
      <c r="P3072" s="416"/>
      <c r="Q3072" s="416"/>
      <c r="R3072" s="416">
        <v>17</v>
      </c>
    </row>
    <row r="3073" spans="1:18" ht="12.75">
      <c r="A3073" s="428" t="s">
        <v>5472</v>
      </c>
      <c r="B3073" s="429"/>
      <c r="C3073" s="429"/>
      <c r="D3073" s="429"/>
      <c r="E3073" s="429"/>
      <c r="F3073" s="429"/>
      <c r="G3073" s="429"/>
      <c r="H3073" s="429"/>
      <c r="I3073" s="429"/>
      <c r="J3073" s="429"/>
      <c r="K3073" s="429"/>
      <c r="L3073" s="429"/>
      <c r="M3073" s="429"/>
      <c r="N3073" s="429"/>
      <c r="O3073" s="429"/>
      <c r="P3073" s="429"/>
      <c r="Q3073" s="429"/>
      <c r="R3073" s="429"/>
    </row>
    <row r="3074" spans="1:18" ht="24">
      <c r="A3074" s="406">
        <v>69.77</v>
      </c>
      <c r="B3074" s="401" t="s">
        <v>5473</v>
      </c>
      <c r="C3074" s="407" t="s">
        <v>5459</v>
      </c>
      <c r="D3074" s="408">
        <v>5.51</v>
      </c>
      <c r="E3074" s="408">
        <v>5.51</v>
      </c>
      <c r="F3074" s="408"/>
      <c r="G3074" s="408"/>
      <c r="H3074" s="409">
        <v>71.87</v>
      </c>
      <c r="I3074" s="409">
        <v>71.87</v>
      </c>
      <c r="J3074" s="409"/>
      <c r="K3074" s="409"/>
      <c r="L3074" s="357">
        <v>13.04355716878403</v>
      </c>
      <c r="M3074" s="357">
        <v>13.05</v>
      </c>
      <c r="N3074" s="357" t="s">
        <v>135</v>
      </c>
      <c r="O3074" s="357" t="s">
        <v>135</v>
      </c>
      <c r="P3074" s="410"/>
      <c r="Q3074" s="410"/>
      <c r="R3074" s="410">
        <v>18</v>
      </c>
    </row>
    <row r="3075" spans="1:18">
      <c r="A3075" s="406">
        <v>69.78</v>
      </c>
      <c r="B3075" s="401" t="s">
        <v>5474</v>
      </c>
      <c r="C3075" s="407" t="s">
        <v>5461</v>
      </c>
      <c r="D3075" s="408">
        <v>35.29</v>
      </c>
      <c r="E3075" s="408">
        <v>35.29</v>
      </c>
      <c r="F3075" s="408"/>
      <c r="G3075" s="408"/>
      <c r="H3075" s="409">
        <v>460.58</v>
      </c>
      <c r="I3075" s="409">
        <v>460.58</v>
      </c>
      <c r="J3075" s="409"/>
      <c r="K3075" s="409"/>
      <c r="L3075" s="357">
        <v>13.051289317086994</v>
      </c>
      <c r="M3075" s="357">
        <v>13.05</v>
      </c>
      <c r="N3075" s="357" t="s">
        <v>135</v>
      </c>
      <c r="O3075" s="357" t="s">
        <v>135</v>
      </c>
      <c r="P3075" s="410"/>
      <c r="Q3075" s="410"/>
      <c r="R3075" s="410">
        <v>18</v>
      </c>
    </row>
    <row r="3076" spans="1:18" ht="24">
      <c r="A3076" s="406">
        <v>69.790000000000006</v>
      </c>
      <c r="B3076" s="401" t="s">
        <v>5475</v>
      </c>
      <c r="C3076" s="407" t="s">
        <v>5476</v>
      </c>
      <c r="D3076" s="408">
        <v>12.14</v>
      </c>
      <c r="E3076" s="408">
        <v>9.7799999999999994</v>
      </c>
      <c r="F3076" s="408">
        <v>1.2</v>
      </c>
      <c r="G3076" s="408">
        <v>1.1599999999999999</v>
      </c>
      <c r="H3076" s="409">
        <v>144.34</v>
      </c>
      <c r="I3076" s="409">
        <v>127.61</v>
      </c>
      <c r="J3076" s="409">
        <v>8.1</v>
      </c>
      <c r="K3076" s="409">
        <v>8.6300000000000008</v>
      </c>
      <c r="L3076" s="357">
        <v>11.889621087314662</v>
      </c>
      <c r="M3076" s="357">
        <v>13.05</v>
      </c>
      <c r="N3076" s="357">
        <v>6.75</v>
      </c>
      <c r="O3076" s="357">
        <v>7.4396551724137945</v>
      </c>
      <c r="P3076" s="410"/>
      <c r="Q3076" s="410"/>
      <c r="R3076" s="410">
        <v>18</v>
      </c>
    </row>
    <row r="3077" spans="1:18">
      <c r="A3077" s="411">
        <v>69.8</v>
      </c>
      <c r="B3077" s="412" t="s">
        <v>5477</v>
      </c>
      <c r="C3077" s="413" t="s">
        <v>5471</v>
      </c>
      <c r="D3077" s="414">
        <v>7.32</v>
      </c>
      <c r="E3077" s="414">
        <v>4.05</v>
      </c>
      <c r="F3077" s="414">
        <v>1.82</v>
      </c>
      <c r="G3077" s="414">
        <v>1.45</v>
      </c>
      <c r="H3077" s="415">
        <v>76.12</v>
      </c>
      <c r="I3077" s="415">
        <v>52.8</v>
      </c>
      <c r="J3077" s="415">
        <v>12.52</v>
      </c>
      <c r="K3077" s="415">
        <v>10.8</v>
      </c>
      <c r="L3077" s="356">
        <v>10.398907103825136</v>
      </c>
      <c r="M3077" s="356">
        <v>13.05</v>
      </c>
      <c r="N3077" s="356">
        <v>6.8791208791208787</v>
      </c>
      <c r="O3077" s="356">
        <v>7.4482758620689662</v>
      </c>
      <c r="P3077" s="416"/>
      <c r="Q3077" s="416"/>
      <c r="R3077" s="416">
        <v>18</v>
      </c>
    </row>
    <row r="3078" spans="1:18" ht="12.75">
      <c r="A3078" s="428" t="s">
        <v>5478</v>
      </c>
      <c r="B3078" s="429"/>
      <c r="C3078" s="429"/>
      <c r="D3078" s="429"/>
      <c r="E3078" s="429"/>
      <c r="F3078" s="429"/>
      <c r="G3078" s="429"/>
      <c r="H3078" s="429"/>
      <c r="I3078" s="429"/>
      <c r="J3078" s="429"/>
      <c r="K3078" s="429"/>
      <c r="L3078" s="429"/>
      <c r="M3078" s="429"/>
      <c r="N3078" s="429"/>
      <c r="O3078" s="429"/>
      <c r="P3078" s="429"/>
      <c r="Q3078" s="429"/>
      <c r="R3078" s="429"/>
    </row>
    <row r="3079" spans="1:18" ht="36">
      <c r="A3079" s="406">
        <v>69.81</v>
      </c>
      <c r="B3079" s="401" t="s">
        <v>5479</v>
      </c>
      <c r="C3079" s="407" t="s">
        <v>5480</v>
      </c>
      <c r="D3079" s="408">
        <v>286.02</v>
      </c>
      <c r="E3079" s="408">
        <v>99.25</v>
      </c>
      <c r="F3079" s="408">
        <v>186.77</v>
      </c>
      <c r="G3079" s="408"/>
      <c r="H3079" s="409">
        <v>2451.6999999999998</v>
      </c>
      <c r="I3079" s="409">
        <v>1295.23</v>
      </c>
      <c r="J3079" s="409">
        <v>1156.47</v>
      </c>
      <c r="K3079" s="409"/>
      <c r="L3079" s="357">
        <v>8.5717781973288574</v>
      </c>
      <c r="M3079" s="357">
        <v>13.05</v>
      </c>
      <c r="N3079" s="357">
        <v>6.191947314879263</v>
      </c>
      <c r="O3079" s="357" t="s">
        <v>135</v>
      </c>
      <c r="P3079" s="410"/>
      <c r="Q3079" s="410"/>
      <c r="R3079" s="410">
        <v>19</v>
      </c>
    </row>
    <row r="3080" spans="1:18" ht="36">
      <c r="A3080" s="406">
        <v>69.819999999999993</v>
      </c>
      <c r="B3080" s="401" t="s">
        <v>5481</v>
      </c>
      <c r="C3080" s="407" t="s">
        <v>5482</v>
      </c>
      <c r="D3080" s="408">
        <v>514.24</v>
      </c>
      <c r="E3080" s="408">
        <v>178.22</v>
      </c>
      <c r="F3080" s="408">
        <v>336.02</v>
      </c>
      <c r="G3080" s="408"/>
      <c r="H3080" s="409">
        <v>4406.43</v>
      </c>
      <c r="I3080" s="409">
        <v>2325.8200000000002</v>
      </c>
      <c r="J3080" s="409">
        <v>2080.61</v>
      </c>
      <c r="K3080" s="409"/>
      <c r="L3080" s="357">
        <v>8.5688200062227757</v>
      </c>
      <c r="M3080" s="357">
        <v>13.05</v>
      </c>
      <c r="N3080" s="357">
        <v>6.1919230998154875</v>
      </c>
      <c r="O3080" s="357" t="s">
        <v>135</v>
      </c>
      <c r="P3080" s="410"/>
      <c r="Q3080" s="410"/>
      <c r="R3080" s="410">
        <v>19</v>
      </c>
    </row>
    <row r="3081" spans="1:18" ht="36">
      <c r="A3081" s="406">
        <v>69.83</v>
      </c>
      <c r="B3081" s="401" t="s">
        <v>5483</v>
      </c>
      <c r="C3081" s="407" t="s">
        <v>5484</v>
      </c>
      <c r="D3081" s="408">
        <v>773.26</v>
      </c>
      <c r="E3081" s="408">
        <v>269.02</v>
      </c>
      <c r="F3081" s="408">
        <v>504.24</v>
      </c>
      <c r="G3081" s="408"/>
      <c r="H3081" s="409">
        <v>6632.87</v>
      </c>
      <c r="I3081" s="409">
        <v>3510.67</v>
      </c>
      <c r="J3081" s="409">
        <v>3122.2</v>
      </c>
      <c r="K3081" s="409"/>
      <c r="L3081" s="357">
        <v>8.5778004810801018</v>
      </c>
      <c r="M3081" s="357">
        <v>13.05</v>
      </c>
      <c r="N3081" s="357">
        <v>6.1918927494843716</v>
      </c>
      <c r="O3081" s="357" t="s">
        <v>135</v>
      </c>
      <c r="P3081" s="410"/>
      <c r="Q3081" s="410"/>
      <c r="R3081" s="410">
        <v>19</v>
      </c>
    </row>
    <row r="3082" spans="1:18" ht="36">
      <c r="A3082" s="406">
        <v>69.84</v>
      </c>
      <c r="B3082" s="401" t="s">
        <v>5485</v>
      </c>
      <c r="C3082" s="407" t="s">
        <v>5486</v>
      </c>
      <c r="D3082" s="408">
        <v>1061.5899999999999</v>
      </c>
      <c r="E3082" s="408">
        <v>364.39</v>
      </c>
      <c r="F3082" s="408">
        <v>697.2</v>
      </c>
      <c r="G3082" s="408"/>
      <c r="H3082" s="409">
        <v>9072.31</v>
      </c>
      <c r="I3082" s="409">
        <v>4755.3599999999997</v>
      </c>
      <c r="J3082" s="409">
        <v>4316.95</v>
      </c>
      <c r="K3082" s="409"/>
      <c r="L3082" s="357">
        <v>8.5459640727587871</v>
      </c>
      <c r="M3082" s="357">
        <v>13.05</v>
      </c>
      <c r="N3082" s="357">
        <v>6.1918387837062525</v>
      </c>
      <c r="O3082" s="357" t="s">
        <v>135</v>
      </c>
      <c r="P3082" s="410"/>
      <c r="Q3082" s="410"/>
      <c r="R3082" s="410">
        <v>19</v>
      </c>
    </row>
    <row r="3083" spans="1:18" ht="36">
      <c r="A3083" s="406">
        <v>69.849999999999994</v>
      </c>
      <c r="B3083" s="401" t="s">
        <v>5487</v>
      </c>
      <c r="C3083" s="407" t="s">
        <v>5488</v>
      </c>
      <c r="D3083" s="408">
        <v>1282.1500000000001</v>
      </c>
      <c r="E3083" s="408">
        <v>437.35</v>
      </c>
      <c r="F3083" s="408">
        <v>844.8</v>
      </c>
      <c r="G3083" s="408"/>
      <c r="H3083" s="409">
        <v>10938.39</v>
      </c>
      <c r="I3083" s="409">
        <v>5707.5</v>
      </c>
      <c r="J3083" s="409">
        <v>5230.8900000000003</v>
      </c>
      <c r="K3083" s="409"/>
      <c r="L3083" s="357">
        <v>8.5312872908786019</v>
      </c>
      <c r="M3083" s="357">
        <v>13.05</v>
      </c>
      <c r="N3083" s="357">
        <v>6.1918678977272732</v>
      </c>
      <c r="O3083" s="357" t="s">
        <v>135</v>
      </c>
      <c r="P3083" s="410"/>
      <c r="Q3083" s="410"/>
      <c r="R3083" s="410">
        <v>19</v>
      </c>
    </row>
    <row r="3084" spans="1:18" ht="36">
      <c r="A3084" s="406">
        <v>69.86</v>
      </c>
      <c r="B3084" s="401" t="s">
        <v>5489</v>
      </c>
      <c r="C3084" s="407" t="s">
        <v>5490</v>
      </c>
      <c r="D3084" s="408">
        <v>1529.57</v>
      </c>
      <c r="E3084" s="408">
        <v>524.38</v>
      </c>
      <c r="F3084" s="408">
        <v>1005.19</v>
      </c>
      <c r="G3084" s="408"/>
      <c r="H3084" s="409">
        <v>13067.12</v>
      </c>
      <c r="I3084" s="409">
        <v>6843.15</v>
      </c>
      <c r="J3084" s="409">
        <v>6223.97</v>
      </c>
      <c r="K3084" s="409"/>
      <c r="L3084" s="357">
        <v>8.543002281687011</v>
      </c>
      <c r="M3084" s="357">
        <v>13.05</v>
      </c>
      <c r="N3084" s="357">
        <v>6.1918343795700315</v>
      </c>
      <c r="O3084" s="357" t="s">
        <v>135</v>
      </c>
      <c r="P3084" s="410"/>
      <c r="Q3084" s="410"/>
      <c r="R3084" s="410">
        <v>19</v>
      </c>
    </row>
    <row r="3085" spans="1:18" ht="36">
      <c r="A3085" s="406">
        <v>69.87</v>
      </c>
      <c r="B3085" s="401" t="s">
        <v>5491</v>
      </c>
      <c r="C3085" s="407" t="s">
        <v>5492</v>
      </c>
      <c r="D3085" s="408">
        <v>1743.24</v>
      </c>
      <c r="E3085" s="408">
        <v>596.22</v>
      </c>
      <c r="F3085" s="408">
        <v>1147.02</v>
      </c>
      <c r="G3085" s="408"/>
      <c r="H3085" s="409">
        <v>14882.83</v>
      </c>
      <c r="I3085" s="409">
        <v>7780.66</v>
      </c>
      <c r="J3085" s="409">
        <v>7102.17</v>
      </c>
      <c r="K3085" s="409"/>
      <c r="L3085" s="357">
        <v>8.5374532479750354</v>
      </c>
      <c r="M3085" s="357">
        <v>13.05</v>
      </c>
      <c r="N3085" s="357">
        <v>6.1918449547523151</v>
      </c>
      <c r="O3085" s="357" t="s">
        <v>135</v>
      </c>
      <c r="P3085" s="410"/>
      <c r="Q3085" s="410"/>
      <c r="R3085" s="410">
        <v>19</v>
      </c>
    </row>
    <row r="3086" spans="1:18" ht="36">
      <c r="A3086" s="406">
        <v>69.88</v>
      </c>
      <c r="B3086" s="401" t="s">
        <v>5493</v>
      </c>
      <c r="C3086" s="407" t="s">
        <v>5494</v>
      </c>
      <c r="D3086" s="408">
        <v>331.1</v>
      </c>
      <c r="E3086" s="408">
        <v>114.64</v>
      </c>
      <c r="F3086" s="408">
        <v>216.46</v>
      </c>
      <c r="G3086" s="408"/>
      <c r="H3086" s="409">
        <v>2836.31</v>
      </c>
      <c r="I3086" s="409">
        <v>1496.03</v>
      </c>
      <c r="J3086" s="409">
        <v>1340.28</v>
      </c>
      <c r="K3086" s="409"/>
      <c r="L3086" s="357">
        <v>8.5663243733011161</v>
      </c>
      <c r="M3086" s="357">
        <v>13.05</v>
      </c>
      <c r="N3086" s="357">
        <v>6.1918137300194029</v>
      </c>
      <c r="O3086" s="357" t="s">
        <v>135</v>
      </c>
      <c r="P3086" s="410"/>
      <c r="Q3086" s="410"/>
      <c r="R3086" s="410">
        <v>19</v>
      </c>
    </row>
    <row r="3087" spans="1:18" ht="36">
      <c r="A3087" s="406">
        <v>69.89</v>
      </c>
      <c r="B3087" s="401" t="s">
        <v>5495</v>
      </c>
      <c r="C3087" s="407" t="s">
        <v>5496</v>
      </c>
      <c r="D3087" s="408">
        <v>596.79999999999995</v>
      </c>
      <c r="E3087" s="408">
        <v>206.76</v>
      </c>
      <c r="F3087" s="408">
        <v>390.04</v>
      </c>
      <c r="G3087" s="408"/>
      <c r="H3087" s="409">
        <v>5113.2</v>
      </c>
      <c r="I3087" s="409">
        <v>2698.16</v>
      </c>
      <c r="J3087" s="409">
        <v>2415.04</v>
      </c>
      <c r="K3087" s="409"/>
      <c r="L3087" s="357">
        <v>8.5676943699731911</v>
      </c>
      <c r="M3087" s="357">
        <v>13.05</v>
      </c>
      <c r="N3087" s="357">
        <v>6.1917752025433286</v>
      </c>
      <c r="O3087" s="357" t="s">
        <v>135</v>
      </c>
      <c r="P3087" s="410"/>
      <c r="Q3087" s="410"/>
      <c r="R3087" s="410">
        <v>19</v>
      </c>
    </row>
    <row r="3088" spans="1:18" ht="36">
      <c r="A3088" s="406">
        <v>69.900000000000006</v>
      </c>
      <c r="B3088" s="401" t="s">
        <v>5497</v>
      </c>
      <c r="C3088" s="407" t="s">
        <v>5498</v>
      </c>
      <c r="D3088" s="408">
        <v>904.2</v>
      </c>
      <c r="E3088" s="408">
        <v>319.14999999999998</v>
      </c>
      <c r="F3088" s="408">
        <v>585.04999999999995</v>
      </c>
      <c r="G3088" s="408"/>
      <c r="H3088" s="409">
        <v>7787.49</v>
      </c>
      <c r="I3088" s="409">
        <v>4164.93</v>
      </c>
      <c r="J3088" s="409">
        <v>3622.56</v>
      </c>
      <c r="K3088" s="409"/>
      <c r="L3088" s="357">
        <v>8.6125746516257458</v>
      </c>
      <c r="M3088" s="357">
        <v>13.05</v>
      </c>
      <c r="N3088" s="357">
        <v>6.1918810358089056</v>
      </c>
      <c r="O3088" s="357" t="s">
        <v>135</v>
      </c>
      <c r="P3088" s="410"/>
      <c r="Q3088" s="410"/>
      <c r="R3088" s="410">
        <v>19</v>
      </c>
    </row>
    <row r="3089" spans="1:18" ht="36">
      <c r="A3089" s="406">
        <v>69.91</v>
      </c>
      <c r="B3089" s="401" t="s">
        <v>5499</v>
      </c>
      <c r="C3089" s="407" t="s">
        <v>5500</v>
      </c>
      <c r="D3089" s="408">
        <v>1175.9100000000001</v>
      </c>
      <c r="E3089" s="408">
        <v>408.62</v>
      </c>
      <c r="F3089" s="408">
        <v>767.29</v>
      </c>
      <c r="G3089" s="408"/>
      <c r="H3089" s="409">
        <v>10083.44</v>
      </c>
      <c r="I3089" s="409">
        <v>5332.5</v>
      </c>
      <c r="J3089" s="409">
        <v>4750.9399999999996</v>
      </c>
      <c r="K3089" s="409"/>
      <c r="L3089" s="357">
        <v>8.5750099922613128</v>
      </c>
      <c r="M3089" s="357">
        <v>13.05</v>
      </c>
      <c r="N3089" s="357">
        <v>6.1918440224686879</v>
      </c>
      <c r="O3089" s="357" t="s">
        <v>135</v>
      </c>
      <c r="P3089" s="410"/>
      <c r="Q3089" s="410"/>
      <c r="R3089" s="410">
        <v>19</v>
      </c>
    </row>
    <row r="3090" spans="1:18" ht="36">
      <c r="A3090" s="406">
        <v>69.92</v>
      </c>
      <c r="B3090" s="401" t="s">
        <v>5501</v>
      </c>
      <c r="C3090" s="407" t="s">
        <v>5502</v>
      </c>
      <c r="D3090" s="408">
        <v>1486.27</v>
      </c>
      <c r="E3090" s="408">
        <v>506.65</v>
      </c>
      <c r="F3090" s="408">
        <v>979.62</v>
      </c>
      <c r="G3090" s="408"/>
      <c r="H3090" s="409">
        <v>12677.46</v>
      </c>
      <c r="I3090" s="409">
        <v>6611.77</v>
      </c>
      <c r="J3090" s="409">
        <v>6065.69</v>
      </c>
      <c r="K3090" s="409"/>
      <c r="L3090" s="357">
        <v>8.5297153276322604</v>
      </c>
      <c r="M3090" s="357">
        <v>13.05</v>
      </c>
      <c r="N3090" s="357">
        <v>6.1918805251015696</v>
      </c>
      <c r="O3090" s="357" t="s">
        <v>135</v>
      </c>
      <c r="P3090" s="410"/>
      <c r="Q3090" s="410"/>
      <c r="R3090" s="410">
        <v>19</v>
      </c>
    </row>
    <row r="3091" spans="1:18" ht="36">
      <c r="A3091" s="406">
        <v>69.930000000000007</v>
      </c>
      <c r="B3091" s="401" t="s">
        <v>5503</v>
      </c>
      <c r="C3091" s="407" t="s">
        <v>5504</v>
      </c>
      <c r="D3091" s="408">
        <v>1772.48</v>
      </c>
      <c r="E3091" s="408">
        <v>608.14</v>
      </c>
      <c r="F3091" s="408">
        <v>1164.3399999999999</v>
      </c>
      <c r="G3091" s="408"/>
      <c r="H3091" s="409">
        <v>15145.64</v>
      </c>
      <c r="I3091" s="409">
        <v>7936.25</v>
      </c>
      <c r="J3091" s="409">
        <v>7209.39</v>
      </c>
      <c r="K3091" s="409"/>
      <c r="L3091" s="357">
        <v>8.5448862610579521</v>
      </c>
      <c r="M3091" s="357">
        <v>13.05</v>
      </c>
      <c r="N3091" s="357">
        <v>6.1918254118212896</v>
      </c>
      <c r="O3091" s="357" t="s">
        <v>135</v>
      </c>
      <c r="P3091" s="410"/>
      <c r="Q3091" s="410"/>
      <c r="R3091" s="410">
        <v>19</v>
      </c>
    </row>
    <row r="3092" spans="1:18" ht="36">
      <c r="A3092" s="406">
        <v>69.94</v>
      </c>
      <c r="B3092" s="401" t="s">
        <v>5505</v>
      </c>
      <c r="C3092" s="407" t="s">
        <v>5506</v>
      </c>
      <c r="D3092" s="408">
        <v>2023.51</v>
      </c>
      <c r="E3092" s="408">
        <v>693.02</v>
      </c>
      <c r="F3092" s="408">
        <v>1330.49</v>
      </c>
      <c r="G3092" s="408"/>
      <c r="H3092" s="409">
        <v>17282.18</v>
      </c>
      <c r="I3092" s="409">
        <v>9043.9699999999993</v>
      </c>
      <c r="J3092" s="409">
        <v>8238.2099999999991</v>
      </c>
      <c r="K3092" s="409"/>
      <c r="L3092" s="357">
        <v>8.540694140379836</v>
      </c>
      <c r="M3092" s="357">
        <v>13.05</v>
      </c>
      <c r="N3092" s="357">
        <v>6.1918616449578723</v>
      </c>
      <c r="O3092" s="357" t="s">
        <v>135</v>
      </c>
      <c r="P3092" s="410"/>
      <c r="Q3092" s="410"/>
      <c r="R3092" s="410">
        <v>19</v>
      </c>
    </row>
    <row r="3093" spans="1:18" ht="36">
      <c r="A3093" s="406">
        <v>69.95</v>
      </c>
      <c r="B3093" s="401" t="s">
        <v>5507</v>
      </c>
      <c r="C3093" s="407" t="s">
        <v>5508</v>
      </c>
      <c r="D3093" s="408">
        <v>336.93</v>
      </c>
      <c r="E3093" s="408">
        <v>123.2</v>
      </c>
      <c r="F3093" s="408">
        <v>190.1</v>
      </c>
      <c r="G3093" s="408">
        <v>23.63</v>
      </c>
      <c r="H3093" s="409">
        <v>3035.6</v>
      </c>
      <c r="I3093" s="409">
        <v>1607.73</v>
      </c>
      <c r="J3093" s="409">
        <v>1181.8599999999999</v>
      </c>
      <c r="K3093" s="409">
        <v>246.01</v>
      </c>
      <c r="L3093" s="357">
        <v>9.0095865610067367</v>
      </c>
      <c r="M3093" s="357">
        <v>13.05</v>
      </c>
      <c r="N3093" s="357">
        <v>6.2170436612309308</v>
      </c>
      <c r="O3093" s="357">
        <v>10.410918324164198</v>
      </c>
      <c r="P3093" s="410"/>
      <c r="Q3093" s="410"/>
      <c r="R3093" s="410">
        <v>19</v>
      </c>
    </row>
    <row r="3094" spans="1:18" ht="36">
      <c r="A3094" s="406">
        <v>69.959999999999994</v>
      </c>
      <c r="B3094" s="401" t="s">
        <v>5509</v>
      </c>
      <c r="C3094" s="407" t="s">
        <v>5510</v>
      </c>
      <c r="D3094" s="408">
        <v>564.84</v>
      </c>
      <c r="E3094" s="408">
        <v>201.86</v>
      </c>
      <c r="F3094" s="408">
        <v>339.35</v>
      </c>
      <c r="G3094" s="408">
        <v>23.63</v>
      </c>
      <c r="H3094" s="409">
        <v>4986.34</v>
      </c>
      <c r="I3094" s="409">
        <v>2634.33</v>
      </c>
      <c r="J3094" s="409">
        <v>2106</v>
      </c>
      <c r="K3094" s="409">
        <v>246.01</v>
      </c>
      <c r="L3094" s="357">
        <v>8.827880461723673</v>
      </c>
      <c r="M3094" s="357">
        <v>13.05</v>
      </c>
      <c r="N3094" s="357">
        <v>6.2059820244585229</v>
      </c>
      <c r="O3094" s="357">
        <v>10.410918324164198</v>
      </c>
      <c r="P3094" s="410"/>
      <c r="Q3094" s="410"/>
      <c r="R3094" s="410">
        <v>19</v>
      </c>
    </row>
    <row r="3095" spans="1:18" ht="36">
      <c r="A3095" s="406">
        <v>69.97</v>
      </c>
      <c r="B3095" s="401" t="s">
        <v>5511</v>
      </c>
      <c r="C3095" s="407" t="s">
        <v>5512</v>
      </c>
      <c r="D3095" s="408">
        <v>822.43</v>
      </c>
      <c r="E3095" s="408">
        <v>291.23</v>
      </c>
      <c r="F3095" s="408">
        <v>507.57</v>
      </c>
      <c r="G3095" s="408">
        <v>23.63</v>
      </c>
      <c r="H3095" s="409">
        <v>7194.17</v>
      </c>
      <c r="I3095" s="409">
        <v>3800.57</v>
      </c>
      <c r="J3095" s="409">
        <v>3147.59</v>
      </c>
      <c r="K3095" s="409">
        <v>246.01</v>
      </c>
      <c r="L3095" s="357">
        <v>8.7474557105163964</v>
      </c>
      <c r="M3095" s="357">
        <v>13.05</v>
      </c>
      <c r="N3095" s="357">
        <v>6.2012924325708774</v>
      </c>
      <c r="O3095" s="357">
        <v>10.410918324164198</v>
      </c>
      <c r="P3095" s="410"/>
      <c r="Q3095" s="410"/>
      <c r="R3095" s="410">
        <v>19</v>
      </c>
    </row>
    <row r="3096" spans="1:18" ht="36">
      <c r="A3096" s="406">
        <v>69.98</v>
      </c>
      <c r="B3096" s="401" t="s">
        <v>5513</v>
      </c>
      <c r="C3096" s="407" t="s">
        <v>5514</v>
      </c>
      <c r="D3096" s="408">
        <v>1112.5999999999999</v>
      </c>
      <c r="E3096" s="408">
        <v>388.44</v>
      </c>
      <c r="F3096" s="408">
        <v>700.53</v>
      </c>
      <c r="G3096" s="408">
        <v>23.63</v>
      </c>
      <c r="H3096" s="409">
        <v>9657.5499999999993</v>
      </c>
      <c r="I3096" s="409">
        <v>5069.2</v>
      </c>
      <c r="J3096" s="409">
        <v>4342.34</v>
      </c>
      <c r="K3096" s="409">
        <v>246.01</v>
      </c>
      <c r="L3096" s="357">
        <v>8.6801635808017252</v>
      </c>
      <c r="M3096" s="357">
        <v>13.05</v>
      </c>
      <c r="N3096" s="357">
        <v>6.1986495938789208</v>
      </c>
      <c r="O3096" s="357">
        <v>10.410918324164198</v>
      </c>
      <c r="P3096" s="410"/>
      <c r="Q3096" s="410"/>
      <c r="R3096" s="410">
        <v>19</v>
      </c>
    </row>
    <row r="3097" spans="1:18" ht="36">
      <c r="A3097" s="406">
        <v>69.989999999999995</v>
      </c>
      <c r="B3097" s="401" t="s">
        <v>5515</v>
      </c>
      <c r="C3097" s="407" t="s">
        <v>5516</v>
      </c>
      <c r="D3097" s="408">
        <v>1333.16</v>
      </c>
      <c r="E3097" s="408">
        <v>461.4</v>
      </c>
      <c r="F3097" s="408">
        <v>848.13</v>
      </c>
      <c r="G3097" s="408">
        <v>23.63</v>
      </c>
      <c r="H3097" s="409">
        <v>11523.62</v>
      </c>
      <c r="I3097" s="409">
        <v>6021.33</v>
      </c>
      <c r="J3097" s="409">
        <v>5256.28</v>
      </c>
      <c r="K3097" s="409">
        <v>246.01</v>
      </c>
      <c r="L3097" s="357">
        <v>8.6438386990308747</v>
      </c>
      <c r="M3097" s="357">
        <v>13.05</v>
      </c>
      <c r="N3097" s="357">
        <v>6.1974933088087907</v>
      </c>
      <c r="O3097" s="357">
        <v>10.410918324164198</v>
      </c>
      <c r="P3097" s="410"/>
      <c r="Q3097" s="410"/>
      <c r="R3097" s="410">
        <v>19</v>
      </c>
    </row>
    <row r="3098" spans="1:18" ht="36">
      <c r="A3098" s="406">
        <v>69.099999999999994</v>
      </c>
      <c r="B3098" s="401" t="s">
        <v>5517</v>
      </c>
      <c r="C3098" s="407" t="s">
        <v>5518</v>
      </c>
      <c r="D3098" s="408">
        <v>1580.58</v>
      </c>
      <c r="E3098" s="408">
        <v>548.42999999999995</v>
      </c>
      <c r="F3098" s="408">
        <v>1008.52</v>
      </c>
      <c r="G3098" s="408">
        <v>23.63</v>
      </c>
      <c r="H3098" s="409">
        <v>13652.35</v>
      </c>
      <c r="I3098" s="409">
        <v>7156.98</v>
      </c>
      <c r="J3098" s="409">
        <v>6249.36</v>
      </c>
      <c r="K3098" s="409">
        <v>246.01</v>
      </c>
      <c r="L3098" s="357">
        <v>8.6375570992926658</v>
      </c>
      <c r="M3098" s="357">
        <v>13.05</v>
      </c>
      <c r="N3098" s="357">
        <v>6.1965652639511362</v>
      </c>
      <c r="O3098" s="357">
        <v>10.410918324164198</v>
      </c>
      <c r="P3098" s="410"/>
      <c r="Q3098" s="410"/>
      <c r="R3098" s="410">
        <v>19</v>
      </c>
    </row>
    <row r="3099" spans="1:18" ht="36">
      <c r="A3099" s="406">
        <v>69.100999999999999</v>
      </c>
      <c r="B3099" s="401" t="s">
        <v>5519</v>
      </c>
      <c r="C3099" s="407" t="s">
        <v>5520</v>
      </c>
      <c r="D3099" s="408">
        <v>1795.67</v>
      </c>
      <c r="E3099" s="408">
        <v>621.69000000000005</v>
      </c>
      <c r="F3099" s="408">
        <v>1150.3499999999999</v>
      </c>
      <c r="G3099" s="408">
        <v>23.63</v>
      </c>
      <c r="H3099" s="409">
        <v>15486.68</v>
      </c>
      <c r="I3099" s="409">
        <v>8113.11</v>
      </c>
      <c r="J3099" s="409">
        <v>7127.56</v>
      </c>
      <c r="K3099" s="409">
        <v>246.01</v>
      </c>
      <c r="L3099" s="357">
        <v>8.6244577233010524</v>
      </c>
      <c r="M3099" s="357">
        <v>13.05</v>
      </c>
      <c r="N3099" s="357">
        <v>6.1959925240144313</v>
      </c>
      <c r="O3099" s="357">
        <v>10.410918324164198</v>
      </c>
      <c r="P3099" s="410"/>
      <c r="Q3099" s="410"/>
      <c r="R3099" s="410">
        <v>19</v>
      </c>
    </row>
    <row r="3100" spans="1:18" ht="36">
      <c r="A3100" s="406">
        <v>69.102000000000004</v>
      </c>
      <c r="B3100" s="401" t="s">
        <v>5521</v>
      </c>
      <c r="C3100" s="407" t="s">
        <v>5522</v>
      </c>
      <c r="D3100" s="408">
        <v>381.29</v>
      </c>
      <c r="E3100" s="408">
        <v>137.87</v>
      </c>
      <c r="F3100" s="408">
        <v>219.79</v>
      </c>
      <c r="G3100" s="408">
        <v>23.63</v>
      </c>
      <c r="H3100" s="409">
        <v>3410.9</v>
      </c>
      <c r="I3100" s="409">
        <v>1799.22</v>
      </c>
      <c r="J3100" s="409">
        <v>1365.67</v>
      </c>
      <c r="K3100" s="409">
        <v>246.01</v>
      </c>
      <c r="L3100" s="357">
        <v>8.9456843872118341</v>
      </c>
      <c r="M3100" s="357">
        <v>13.05</v>
      </c>
      <c r="N3100" s="357">
        <v>6.2135219982710774</v>
      </c>
      <c r="O3100" s="357">
        <v>10.410918324164198</v>
      </c>
      <c r="P3100" s="410"/>
      <c r="Q3100" s="410"/>
      <c r="R3100" s="410">
        <v>19</v>
      </c>
    </row>
    <row r="3101" spans="1:18" ht="36">
      <c r="A3101" s="406">
        <v>69.102999999999994</v>
      </c>
      <c r="B3101" s="401" t="s">
        <v>5523</v>
      </c>
      <c r="C3101" s="407" t="s">
        <v>5524</v>
      </c>
      <c r="D3101" s="408">
        <v>646.77</v>
      </c>
      <c r="E3101" s="408">
        <v>229.78</v>
      </c>
      <c r="F3101" s="408">
        <v>393.36</v>
      </c>
      <c r="G3101" s="408">
        <v>23.63</v>
      </c>
      <c r="H3101" s="409">
        <v>5685.14</v>
      </c>
      <c r="I3101" s="409">
        <v>2998.7</v>
      </c>
      <c r="J3101" s="409">
        <v>2440.4299999999998</v>
      </c>
      <c r="K3101" s="409">
        <v>246.01</v>
      </c>
      <c r="L3101" s="357">
        <v>8.7900490127866178</v>
      </c>
      <c r="M3101" s="357">
        <v>13.05</v>
      </c>
      <c r="N3101" s="357">
        <v>6.2040624364449863</v>
      </c>
      <c r="O3101" s="357">
        <v>10.410918324164198</v>
      </c>
      <c r="P3101" s="410"/>
      <c r="Q3101" s="410"/>
      <c r="R3101" s="410">
        <v>19</v>
      </c>
    </row>
    <row r="3102" spans="1:18" ht="36">
      <c r="A3102" s="406">
        <v>69.103999999999999</v>
      </c>
      <c r="B3102" s="401" t="s">
        <v>5525</v>
      </c>
      <c r="C3102" s="407" t="s">
        <v>5526</v>
      </c>
      <c r="D3102" s="408">
        <v>955.82</v>
      </c>
      <c r="E3102" s="408">
        <v>343.81</v>
      </c>
      <c r="F3102" s="408">
        <v>588.38</v>
      </c>
      <c r="G3102" s="408">
        <v>23.63</v>
      </c>
      <c r="H3102" s="409">
        <v>8380.7099999999991</v>
      </c>
      <c r="I3102" s="409">
        <v>4486.75</v>
      </c>
      <c r="J3102" s="409">
        <v>3647.95</v>
      </c>
      <c r="K3102" s="409">
        <v>246.01</v>
      </c>
      <c r="L3102" s="357">
        <v>8.7680839488606619</v>
      </c>
      <c r="M3102" s="357">
        <v>13.05</v>
      </c>
      <c r="N3102" s="357">
        <v>6.1999898025085827</v>
      </c>
      <c r="O3102" s="357">
        <v>10.410918324164198</v>
      </c>
      <c r="P3102" s="410"/>
      <c r="Q3102" s="410"/>
      <c r="R3102" s="410">
        <v>19</v>
      </c>
    </row>
    <row r="3103" spans="1:18" ht="36">
      <c r="A3103" s="406">
        <v>69.105000000000004</v>
      </c>
      <c r="B3103" s="401" t="s">
        <v>5527</v>
      </c>
      <c r="C3103" s="407" t="s">
        <v>5528</v>
      </c>
      <c r="D3103" s="408">
        <v>1229.97</v>
      </c>
      <c r="E3103" s="408">
        <v>435.72</v>
      </c>
      <c r="F3103" s="408">
        <v>770.62</v>
      </c>
      <c r="G3103" s="408">
        <v>23.63</v>
      </c>
      <c r="H3103" s="409">
        <v>10708.56</v>
      </c>
      <c r="I3103" s="409">
        <v>5686.22</v>
      </c>
      <c r="J3103" s="409">
        <v>4776.33</v>
      </c>
      <c r="K3103" s="409">
        <v>246.01</v>
      </c>
      <c r="L3103" s="357">
        <v>8.7063586916754065</v>
      </c>
      <c r="M3103" s="357">
        <v>13.05</v>
      </c>
      <c r="N3103" s="357">
        <v>6.1980353481612207</v>
      </c>
      <c r="O3103" s="357">
        <v>10.410918324164198</v>
      </c>
      <c r="P3103" s="410"/>
      <c r="Q3103" s="410"/>
      <c r="R3103" s="410">
        <v>19</v>
      </c>
    </row>
    <row r="3104" spans="1:18" ht="36">
      <c r="A3104" s="406">
        <v>69.105999999999995</v>
      </c>
      <c r="B3104" s="401" t="s">
        <v>5529</v>
      </c>
      <c r="C3104" s="407" t="s">
        <v>5530</v>
      </c>
      <c r="D3104" s="408">
        <v>1537.78</v>
      </c>
      <c r="E3104" s="408">
        <v>531.20000000000005</v>
      </c>
      <c r="F3104" s="408">
        <v>982.95</v>
      </c>
      <c r="G3104" s="408">
        <v>23.63</v>
      </c>
      <c r="H3104" s="409">
        <v>13269.34</v>
      </c>
      <c r="I3104" s="409">
        <v>6932.25</v>
      </c>
      <c r="J3104" s="409">
        <v>6091.08</v>
      </c>
      <c r="K3104" s="409">
        <v>246.01</v>
      </c>
      <c r="L3104" s="357">
        <v>8.6288935998647407</v>
      </c>
      <c r="M3104" s="357">
        <v>13.05</v>
      </c>
      <c r="N3104" s="357">
        <v>6.196734320158706</v>
      </c>
      <c r="O3104" s="357">
        <v>10.410918324164198</v>
      </c>
      <c r="P3104" s="410"/>
      <c r="Q3104" s="410"/>
      <c r="R3104" s="410">
        <v>19</v>
      </c>
    </row>
    <row r="3105" spans="1:18" ht="36">
      <c r="A3105" s="406">
        <v>69.106999999999999</v>
      </c>
      <c r="B3105" s="401" t="s">
        <v>5531</v>
      </c>
      <c r="C3105" s="407" t="s">
        <v>5532</v>
      </c>
      <c r="D3105" s="408">
        <v>1824.09</v>
      </c>
      <c r="E3105" s="408">
        <v>632.79999999999995</v>
      </c>
      <c r="F3105" s="408">
        <v>1167.6600000000001</v>
      </c>
      <c r="G3105" s="408">
        <v>23.63</v>
      </c>
      <c r="H3105" s="409">
        <v>15738.85</v>
      </c>
      <c r="I3105" s="409">
        <v>8258.06</v>
      </c>
      <c r="J3105" s="409">
        <v>7234.78</v>
      </c>
      <c r="K3105" s="409">
        <v>246.01</v>
      </c>
      <c r="L3105" s="357">
        <v>8.6283297425017409</v>
      </c>
      <c r="M3105" s="357">
        <v>13.05</v>
      </c>
      <c r="N3105" s="357">
        <v>6.1959645787301092</v>
      </c>
      <c r="O3105" s="357">
        <v>10.410918324164198</v>
      </c>
      <c r="P3105" s="410"/>
      <c r="Q3105" s="410"/>
      <c r="R3105" s="410">
        <v>19</v>
      </c>
    </row>
    <row r="3106" spans="1:18" ht="36">
      <c r="A3106" s="411">
        <v>69.108000000000004</v>
      </c>
      <c r="B3106" s="412" t="s">
        <v>5533</v>
      </c>
      <c r="C3106" s="413" t="s">
        <v>5534</v>
      </c>
      <c r="D3106" s="414">
        <v>2074.3200000000002</v>
      </c>
      <c r="E3106" s="414">
        <v>716.87</v>
      </c>
      <c r="F3106" s="414">
        <v>1333.82</v>
      </c>
      <c r="G3106" s="414">
        <v>23.63</v>
      </c>
      <c r="H3106" s="415">
        <v>17864.75</v>
      </c>
      <c r="I3106" s="415">
        <v>9355.14</v>
      </c>
      <c r="J3106" s="415">
        <v>8263.6</v>
      </c>
      <c r="K3106" s="415">
        <v>246.01</v>
      </c>
      <c r="L3106" s="356">
        <v>8.6123404296347719</v>
      </c>
      <c r="M3106" s="356">
        <v>13.05</v>
      </c>
      <c r="N3106" s="356">
        <v>6.195438664887317</v>
      </c>
      <c r="O3106" s="356">
        <v>10.410918324164198</v>
      </c>
      <c r="P3106" s="416"/>
      <c r="Q3106" s="416"/>
      <c r="R3106" s="416">
        <v>19</v>
      </c>
    </row>
    <row r="3107" spans="1:18" ht="12.75">
      <c r="A3107" s="428" t="s">
        <v>5535</v>
      </c>
      <c r="B3107" s="429"/>
      <c r="C3107" s="429"/>
      <c r="D3107" s="429"/>
      <c r="E3107" s="429"/>
      <c r="F3107" s="429"/>
      <c r="G3107" s="429"/>
      <c r="H3107" s="429"/>
      <c r="I3107" s="429"/>
      <c r="J3107" s="429"/>
      <c r="K3107" s="429"/>
      <c r="L3107" s="429"/>
      <c r="M3107" s="429"/>
      <c r="N3107" s="429"/>
      <c r="O3107" s="429"/>
      <c r="P3107" s="429"/>
      <c r="Q3107" s="429"/>
      <c r="R3107" s="429"/>
    </row>
    <row r="3108" spans="1:18">
      <c r="A3108" s="406">
        <v>69.108999999999995</v>
      </c>
      <c r="B3108" s="401" t="s">
        <v>5536</v>
      </c>
      <c r="C3108" s="407" t="s">
        <v>5537</v>
      </c>
      <c r="D3108" s="408">
        <v>1767.75</v>
      </c>
      <c r="E3108" s="408">
        <v>76.06</v>
      </c>
      <c r="F3108" s="408">
        <v>1651.35</v>
      </c>
      <c r="G3108" s="408">
        <v>40.340000000000003</v>
      </c>
      <c r="H3108" s="409">
        <v>13006.22</v>
      </c>
      <c r="I3108" s="409">
        <v>992.6</v>
      </c>
      <c r="J3108" s="409">
        <v>11857.23</v>
      </c>
      <c r="K3108" s="409">
        <v>156.38999999999999</v>
      </c>
      <c r="L3108" s="357">
        <v>7.3574996464432187</v>
      </c>
      <c r="M3108" s="357">
        <v>13.05</v>
      </c>
      <c r="N3108" s="357">
        <v>7.1803251884821515</v>
      </c>
      <c r="O3108" s="357">
        <v>3.8767972235994046</v>
      </c>
      <c r="P3108" s="410"/>
      <c r="Q3108" s="410"/>
      <c r="R3108" s="410">
        <v>20</v>
      </c>
    </row>
    <row r="3109" spans="1:18">
      <c r="A3109" s="406">
        <v>69.11</v>
      </c>
      <c r="B3109" s="401" t="s">
        <v>5538</v>
      </c>
      <c r="C3109" s="407" t="s">
        <v>5539</v>
      </c>
      <c r="D3109" s="408">
        <v>2797.37</v>
      </c>
      <c r="E3109" s="408">
        <v>117.08</v>
      </c>
      <c r="F3109" s="408">
        <v>2618.3000000000002</v>
      </c>
      <c r="G3109" s="408">
        <v>61.99</v>
      </c>
      <c r="H3109" s="409">
        <v>20575.2</v>
      </c>
      <c r="I3109" s="409">
        <v>1527.89</v>
      </c>
      <c r="J3109" s="409">
        <v>18769.599999999999</v>
      </c>
      <c r="K3109" s="409">
        <v>277.70999999999998</v>
      </c>
      <c r="L3109" s="357">
        <v>7.3551943432581322</v>
      </c>
      <c r="M3109" s="357">
        <v>13.05</v>
      </c>
      <c r="N3109" s="357">
        <v>7.1686208608639186</v>
      </c>
      <c r="O3109" s="357">
        <v>4.4799161155025002</v>
      </c>
      <c r="P3109" s="410"/>
      <c r="Q3109" s="410"/>
      <c r="R3109" s="410">
        <v>20</v>
      </c>
    </row>
    <row r="3110" spans="1:18" ht="24">
      <c r="A3110" s="406">
        <v>69.111000000000004</v>
      </c>
      <c r="B3110" s="401" t="s">
        <v>5540</v>
      </c>
      <c r="C3110" s="407" t="s">
        <v>5541</v>
      </c>
      <c r="D3110" s="408">
        <v>4567.62</v>
      </c>
      <c r="E3110" s="408">
        <v>107.2</v>
      </c>
      <c r="F3110" s="408">
        <v>4443.63</v>
      </c>
      <c r="G3110" s="408">
        <v>16.79</v>
      </c>
      <c r="H3110" s="409">
        <v>33285.800000000003</v>
      </c>
      <c r="I3110" s="409">
        <v>1398.94</v>
      </c>
      <c r="J3110" s="409">
        <v>31828.69</v>
      </c>
      <c r="K3110" s="409">
        <v>58.17</v>
      </c>
      <c r="L3110" s="357">
        <v>7.2873400151501224</v>
      </c>
      <c r="M3110" s="357">
        <v>13.05</v>
      </c>
      <c r="N3110" s="357">
        <v>7.1627678272043349</v>
      </c>
      <c r="O3110" s="357">
        <v>3.4645622394282314</v>
      </c>
      <c r="P3110" s="410"/>
      <c r="Q3110" s="410"/>
      <c r="R3110" s="410">
        <v>20</v>
      </c>
    </row>
    <row r="3111" spans="1:18">
      <c r="A3111" s="406">
        <v>69.111999999999995</v>
      </c>
      <c r="B3111" s="401" t="s">
        <v>5542</v>
      </c>
      <c r="C3111" s="407" t="s">
        <v>5543</v>
      </c>
      <c r="D3111" s="408">
        <v>3858.81</v>
      </c>
      <c r="E3111" s="408">
        <v>108.41</v>
      </c>
      <c r="F3111" s="408">
        <v>3401.2</v>
      </c>
      <c r="G3111" s="408">
        <v>349.2</v>
      </c>
      <c r="H3111" s="409">
        <v>27314.75</v>
      </c>
      <c r="I3111" s="409">
        <v>1414.77</v>
      </c>
      <c r="J3111" s="409">
        <v>24536.639999999999</v>
      </c>
      <c r="K3111" s="409">
        <v>1363.34</v>
      </c>
      <c r="L3111" s="357">
        <v>7.0785423485478685</v>
      </c>
      <c r="M3111" s="357">
        <v>13.05</v>
      </c>
      <c r="N3111" s="357">
        <v>7.214112666117841</v>
      </c>
      <c r="O3111" s="357">
        <v>3.9041809851088201</v>
      </c>
      <c r="P3111" s="410"/>
      <c r="Q3111" s="410"/>
      <c r="R3111" s="410">
        <v>20</v>
      </c>
    </row>
    <row r="3112" spans="1:18">
      <c r="A3112" s="406">
        <v>69.113</v>
      </c>
      <c r="B3112" s="401" t="s">
        <v>5544</v>
      </c>
      <c r="C3112" s="407" t="s">
        <v>5545</v>
      </c>
      <c r="D3112" s="408">
        <v>1884.99</v>
      </c>
      <c r="E3112" s="408">
        <v>57.83</v>
      </c>
      <c r="F3112" s="408">
        <v>1801.73</v>
      </c>
      <c r="G3112" s="408">
        <v>25.43</v>
      </c>
      <c r="H3112" s="409">
        <v>13935.76</v>
      </c>
      <c r="I3112" s="409">
        <v>754.64</v>
      </c>
      <c r="J3112" s="409">
        <v>13012.04</v>
      </c>
      <c r="K3112" s="409">
        <v>169.08</v>
      </c>
      <c r="L3112" s="357">
        <v>7.3930153475615255</v>
      </c>
      <c r="M3112" s="357">
        <v>13.05</v>
      </c>
      <c r="N3112" s="357">
        <v>7.2219699955043213</v>
      </c>
      <c r="O3112" s="357">
        <v>6.64883995281164</v>
      </c>
      <c r="P3112" s="410"/>
      <c r="Q3112" s="410"/>
      <c r="R3112" s="410">
        <v>20</v>
      </c>
    </row>
    <row r="3113" spans="1:18">
      <c r="A3113" s="406">
        <v>69.114000000000004</v>
      </c>
      <c r="B3113" s="401" t="s">
        <v>5546</v>
      </c>
      <c r="C3113" s="407" t="s">
        <v>5547</v>
      </c>
      <c r="D3113" s="408">
        <v>201.28</v>
      </c>
      <c r="E3113" s="408">
        <v>4.8899999999999997</v>
      </c>
      <c r="F3113" s="408">
        <v>187.65</v>
      </c>
      <c r="G3113" s="408">
        <v>8.74</v>
      </c>
      <c r="H3113" s="409">
        <v>1475.23</v>
      </c>
      <c r="I3113" s="409">
        <v>63.82</v>
      </c>
      <c r="J3113" s="409">
        <v>1348.96</v>
      </c>
      <c r="K3113" s="409">
        <v>62.45</v>
      </c>
      <c r="L3113" s="357">
        <v>7.3292428457869638</v>
      </c>
      <c r="M3113" s="357">
        <v>13.05</v>
      </c>
      <c r="N3113" s="357">
        <v>7.1887023714361842</v>
      </c>
      <c r="O3113" s="357">
        <v>7.1453089244851258</v>
      </c>
      <c r="P3113" s="410"/>
      <c r="Q3113" s="410"/>
      <c r="R3113" s="410">
        <v>20</v>
      </c>
    </row>
    <row r="3114" spans="1:18" ht="24">
      <c r="A3114" s="406">
        <v>69.114999999999995</v>
      </c>
      <c r="B3114" s="401" t="s">
        <v>5548</v>
      </c>
      <c r="C3114" s="407" t="s">
        <v>5549</v>
      </c>
      <c r="D3114" s="408">
        <v>389.5</v>
      </c>
      <c r="E3114" s="408">
        <v>13.67</v>
      </c>
      <c r="F3114" s="408">
        <v>368.27</v>
      </c>
      <c r="G3114" s="408">
        <v>7.56</v>
      </c>
      <c r="H3114" s="409">
        <v>2841.73</v>
      </c>
      <c r="I3114" s="409">
        <v>178.43</v>
      </c>
      <c r="J3114" s="409">
        <v>2636.63</v>
      </c>
      <c r="K3114" s="409">
        <v>26.67</v>
      </c>
      <c r="L3114" s="357">
        <v>7.2958408215661104</v>
      </c>
      <c r="M3114" s="357">
        <v>13.05</v>
      </c>
      <c r="N3114" s="357">
        <v>7.1595025388980913</v>
      </c>
      <c r="O3114" s="357">
        <v>3.5277777777777781</v>
      </c>
      <c r="P3114" s="410"/>
      <c r="Q3114" s="410"/>
      <c r="R3114" s="410">
        <v>20</v>
      </c>
    </row>
    <row r="3115" spans="1:18" ht="24">
      <c r="A3115" s="406">
        <v>69.116</v>
      </c>
      <c r="B3115" s="401" t="s">
        <v>5550</v>
      </c>
      <c r="C3115" s="407" t="s">
        <v>5551</v>
      </c>
      <c r="D3115" s="408">
        <v>507.53</v>
      </c>
      <c r="E3115" s="408">
        <v>16.89</v>
      </c>
      <c r="F3115" s="408">
        <v>393.49</v>
      </c>
      <c r="G3115" s="408">
        <v>97.15</v>
      </c>
      <c r="H3115" s="409">
        <v>3563.39</v>
      </c>
      <c r="I3115" s="409">
        <v>220.41</v>
      </c>
      <c r="J3115" s="409">
        <v>2817.23</v>
      </c>
      <c r="K3115" s="409">
        <v>525.75</v>
      </c>
      <c r="L3115" s="357">
        <v>7.0210430910488055</v>
      </c>
      <c r="M3115" s="357">
        <v>13.05</v>
      </c>
      <c r="N3115" s="357">
        <v>7.1595974484739129</v>
      </c>
      <c r="O3115" s="357">
        <v>5.4117344312918165</v>
      </c>
      <c r="P3115" s="410"/>
      <c r="Q3115" s="410"/>
      <c r="R3115" s="410">
        <v>20</v>
      </c>
    </row>
    <row r="3116" spans="1:18" ht="12.75">
      <c r="A3116" s="400"/>
      <c r="B3116" s="403"/>
      <c r="C3116" s="402"/>
      <c r="D3116" s="404"/>
      <c r="E3116" s="404"/>
      <c r="F3116" s="404"/>
      <c r="G3116" s="404"/>
      <c r="H3116" s="405"/>
      <c r="I3116" s="405"/>
      <c r="J3116" s="405"/>
      <c r="K3116" s="405"/>
      <c r="L3116" s="355"/>
      <c r="M3116" s="355"/>
      <c r="N3116" s="355"/>
      <c r="O3116" s="355"/>
      <c r="P3116" s="399"/>
      <c r="Q3116" s="399"/>
      <c r="R3116" s="399"/>
    </row>
  </sheetData>
  <mergeCells count="502">
    <mergeCell ref="B1:O5"/>
    <mergeCell ref="A2980:R2980"/>
    <mergeCell ref="A2993:R2993"/>
    <mergeCell ref="A3000:R3000"/>
    <mergeCell ref="A3065:R3065"/>
    <mergeCell ref="A3073:R3073"/>
    <mergeCell ref="A3078:R3078"/>
    <mergeCell ref="A3107:R3107"/>
    <mergeCell ref="A3024:R3024"/>
    <mergeCell ref="A3040:R3040"/>
    <mergeCell ref="A3048:R3048"/>
    <mergeCell ref="A3056:R3056"/>
    <mergeCell ref="A3058:R3058"/>
    <mergeCell ref="A3060:R3060"/>
    <mergeCell ref="A2819:R2819"/>
    <mergeCell ref="A2824:R2824"/>
    <mergeCell ref="A2827:R2827"/>
    <mergeCell ref="A3062:R3062"/>
    <mergeCell ref="A3005:R3005"/>
    <mergeCell ref="A3011:R3011"/>
    <mergeCell ref="A3013:R3013"/>
    <mergeCell ref="A3015:R3015"/>
    <mergeCell ref="A3018:R3018"/>
    <mergeCell ref="A3022:R3022"/>
    <mergeCell ref="A2904:R2904"/>
    <mergeCell ref="A2834:R2834"/>
    <mergeCell ref="A2837:R2837"/>
    <mergeCell ref="A2847:R2847"/>
    <mergeCell ref="A2855:R2855"/>
    <mergeCell ref="A2860:R2860"/>
    <mergeCell ref="A2867:R2867"/>
    <mergeCell ref="A2872:R2872"/>
    <mergeCell ref="A2875:R2875"/>
    <mergeCell ref="A2877:R2877"/>
    <mergeCell ref="A2898:R2898"/>
    <mergeCell ref="A2901:R2901"/>
    <mergeCell ref="A2940:R2940"/>
    <mergeCell ref="A2911:R2911"/>
    <mergeCell ref="A2913:R2913"/>
    <mergeCell ref="A2915:R2915"/>
    <mergeCell ref="A2917:R2917"/>
    <mergeCell ref="A2919:R2919"/>
    <mergeCell ref="A2921:R2921"/>
    <mergeCell ref="A2972:R2972"/>
    <mergeCell ref="A2943:R2943"/>
    <mergeCell ref="A2949:R2949"/>
    <mergeCell ref="A2763:R2763"/>
    <mergeCell ref="A2769:R2769"/>
    <mergeCell ref="A2782:R2782"/>
    <mergeCell ref="A2814:R2814"/>
    <mergeCell ref="A2784:R2784"/>
    <mergeCell ref="A2791:R2791"/>
    <mergeCell ref="A2794:R2794"/>
    <mergeCell ref="A2796:R2796"/>
    <mergeCell ref="A2798:R2798"/>
    <mergeCell ref="A2801:R2801"/>
    <mergeCell ref="A2804:R2804"/>
    <mergeCell ref="A2806:R2806"/>
    <mergeCell ref="A2808:R2808"/>
    <mergeCell ref="A2810:R2810"/>
    <mergeCell ref="A2812:R2812"/>
    <mergeCell ref="A2951:R2951"/>
    <mergeCell ref="A2956:R2956"/>
    <mergeCell ref="A2963:R2963"/>
    <mergeCell ref="A2969:R2969"/>
    <mergeCell ref="A2923:R2923"/>
    <mergeCell ref="A2926:R2926"/>
    <mergeCell ref="A2929:R2929"/>
    <mergeCell ref="A2932:R2932"/>
    <mergeCell ref="A2936:R2936"/>
    <mergeCell ref="A2730:R2730"/>
    <mergeCell ref="A2737:R2737"/>
    <mergeCell ref="A2744:R2744"/>
    <mergeCell ref="A2746:R2746"/>
    <mergeCell ref="A2754:R2754"/>
    <mergeCell ref="A2756:R2756"/>
    <mergeCell ref="A2668:R2668"/>
    <mergeCell ref="A2672:R2672"/>
    <mergeCell ref="A2680:R2680"/>
    <mergeCell ref="A2682:R2682"/>
    <mergeCell ref="A2696:R2696"/>
    <mergeCell ref="A2702:R2702"/>
    <mergeCell ref="A2713:R2713"/>
    <mergeCell ref="A2720:R2720"/>
    <mergeCell ref="A2727:R2727"/>
    <mergeCell ref="A2633:R2633"/>
    <mergeCell ref="A2634:R2634"/>
    <mergeCell ref="A2635:R2635"/>
    <mergeCell ref="A2642:R2642"/>
    <mergeCell ref="A2649:R2649"/>
    <mergeCell ref="A2650:R2650"/>
    <mergeCell ref="A2654:R2654"/>
    <mergeCell ref="A2661:R2661"/>
    <mergeCell ref="A2662:R2662"/>
    <mergeCell ref="A2568:R2568"/>
    <mergeCell ref="A2569:R2569"/>
    <mergeCell ref="A2570:R2570"/>
    <mergeCell ref="A2577:R2577"/>
    <mergeCell ref="A2584:R2584"/>
    <mergeCell ref="A2597:R2597"/>
    <mergeCell ref="A2599:R2599"/>
    <mergeCell ref="A2600:R2600"/>
    <mergeCell ref="A2616:R2616"/>
    <mergeCell ref="A2483:R2483"/>
    <mergeCell ref="A2508:R2508"/>
    <mergeCell ref="A2521:R2521"/>
    <mergeCell ref="A2535:R2535"/>
    <mergeCell ref="A2543:R2543"/>
    <mergeCell ref="A2545:R2545"/>
    <mergeCell ref="A2547:R2547"/>
    <mergeCell ref="A2551:R2551"/>
    <mergeCell ref="A2553:R2553"/>
    <mergeCell ref="A2317:R2317"/>
    <mergeCell ref="A2320:R2320"/>
    <mergeCell ref="A2327:R2327"/>
    <mergeCell ref="A2348:R2348"/>
    <mergeCell ref="A2357:R2357"/>
    <mergeCell ref="A2376:R2376"/>
    <mergeCell ref="A2389:R2389"/>
    <mergeCell ref="A2402:R2402"/>
    <mergeCell ref="A2452:R2452"/>
    <mergeCell ref="A2289:R2289"/>
    <mergeCell ref="A2290:R2290"/>
    <mergeCell ref="A2296:R2296"/>
    <mergeCell ref="A2303:R2303"/>
    <mergeCell ref="A2306:R2306"/>
    <mergeCell ref="A2308:R2308"/>
    <mergeCell ref="A2310:R2310"/>
    <mergeCell ref="A2313:R2313"/>
    <mergeCell ref="A2315:R2315"/>
    <mergeCell ref="A774:R774"/>
    <mergeCell ref="A779:R779"/>
    <mergeCell ref="A782:R782"/>
    <mergeCell ref="A736:R736"/>
    <mergeCell ref="A741:R741"/>
    <mergeCell ref="A743:R743"/>
    <mergeCell ref="A745:R745"/>
    <mergeCell ref="A748:R748"/>
    <mergeCell ref="A767:R767"/>
    <mergeCell ref="A770:R770"/>
    <mergeCell ref="A703:R703"/>
    <mergeCell ref="A710:R710"/>
    <mergeCell ref="A715:R715"/>
    <mergeCell ref="A719:R719"/>
    <mergeCell ref="A728:R728"/>
    <mergeCell ref="A732:R732"/>
    <mergeCell ref="A691:R691"/>
    <mergeCell ref="A697:R697"/>
    <mergeCell ref="A700:R700"/>
    <mergeCell ref="A683:R683"/>
    <mergeCell ref="A666:R666"/>
    <mergeCell ref="A670:R670"/>
    <mergeCell ref="A674:R674"/>
    <mergeCell ref="A676:R676"/>
    <mergeCell ref="A679:R679"/>
    <mergeCell ref="A681:R681"/>
    <mergeCell ref="A589:R589"/>
    <mergeCell ref="A534:R534"/>
    <mergeCell ref="A536:R536"/>
    <mergeCell ref="A544:R544"/>
    <mergeCell ref="A547:R547"/>
    <mergeCell ref="A555:R555"/>
    <mergeCell ref="A562:R562"/>
    <mergeCell ref="A648:R648"/>
    <mergeCell ref="A628:R628"/>
    <mergeCell ref="A631:R631"/>
    <mergeCell ref="A633:R633"/>
    <mergeCell ref="A637:R637"/>
    <mergeCell ref="A641:R641"/>
    <mergeCell ref="A658:R658"/>
    <mergeCell ref="A661:R661"/>
    <mergeCell ref="A663:R663"/>
    <mergeCell ref="A644:R644"/>
    <mergeCell ref="A429:R429"/>
    <mergeCell ref="A434:R434"/>
    <mergeCell ref="A442:R442"/>
    <mergeCell ref="A646:R646"/>
    <mergeCell ref="A592:R592"/>
    <mergeCell ref="A599:R599"/>
    <mergeCell ref="A603:R603"/>
    <mergeCell ref="A609:R609"/>
    <mergeCell ref="A616:R616"/>
    <mergeCell ref="A625:R625"/>
    <mergeCell ref="A564:R564"/>
    <mergeCell ref="A572:R572"/>
    <mergeCell ref="A574:R574"/>
    <mergeCell ref="A579:R579"/>
    <mergeCell ref="A582:R582"/>
    <mergeCell ref="A493:R493"/>
    <mergeCell ref="A502:R502"/>
    <mergeCell ref="A505:R505"/>
    <mergeCell ref="A507:R507"/>
    <mergeCell ref="A511:R511"/>
    <mergeCell ref="A521:R521"/>
    <mergeCell ref="A526:R526"/>
    <mergeCell ref="A530:R530"/>
    <mergeCell ref="A480:R480"/>
    <mergeCell ref="A445:R445"/>
    <mergeCell ref="A456:R456"/>
    <mergeCell ref="A459:R459"/>
    <mergeCell ref="A466:R466"/>
    <mergeCell ref="A473:R473"/>
    <mergeCell ref="A477:R477"/>
    <mergeCell ref="A388:R388"/>
    <mergeCell ref="A333:R333"/>
    <mergeCell ref="A337:R337"/>
    <mergeCell ref="A340:R340"/>
    <mergeCell ref="A342:R342"/>
    <mergeCell ref="A346:R346"/>
    <mergeCell ref="A350:R350"/>
    <mergeCell ref="A355:R355"/>
    <mergeCell ref="A357:R357"/>
    <mergeCell ref="A359:R359"/>
    <mergeCell ref="A376:R376"/>
    <mergeCell ref="A384:R384"/>
    <mergeCell ref="A414:R414"/>
    <mergeCell ref="A420:R420"/>
    <mergeCell ref="A422:R422"/>
    <mergeCell ref="A394:R394"/>
    <mergeCell ref="A396:R396"/>
    <mergeCell ref="A399:R399"/>
    <mergeCell ref="A402:R402"/>
    <mergeCell ref="A404:R404"/>
    <mergeCell ref="A407:R407"/>
    <mergeCell ref="A310:R310"/>
    <mergeCell ref="A312:R312"/>
    <mergeCell ref="A315:R315"/>
    <mergeCell ref="A322:R322"/>
    <mergeCell ref="A326:R326"/>
    <mergeCell ref="A329:R329"/>
    <mergeCell ref="A294:R294"/>
    <mergeCell ref="A301:R301"/>
    <mergeCell ref="A303:R303"/>
    <mergeCell ref="A247:R247"/>
    <mergeCell ref="A249:R249"/>
    <mergeCell ref="A251:R251"/>
    <mergeCell ref="A305:R305"/>
    <mergeCell ref="A287:R287"/>
    <mergeCell ref="A255:R255"/>
    <mergeCell ref="A259:R259"/>
    <mergeCell ref="A264:R264"/>
    <mergeCell ref="A267:R267"/>
    <mergeCell ref="A270:R270"/>
    <mergeCell ref="A273:R273"/>
    <mergeCell ref="A275:R275"/>
    <mergeCell ref="A277:R277"/>
    <mergeCell ref="A279:R279"/>
    <mergeCell ref="A281:R281"/>
    <mergeCell ref="A283:R283"/>
    <mergeCell ref="A146:R146"/>
    <mergeCell ref="A148:R148"/>
    <mergeCell ref="A153:R153"/>
    <mergeCell ref="A155:R155"/>
    <mergeCell ref="A158:R158"/>
    <mergeCell ref="A169:R169"/>
    <mergeCell ref="A124:R124"/>
    <mergeCell ref="A129:R129"/>
    <mergeCell ref="A131:R131"/>
    <mergeCell ref="A133:R133"/>
    <mergeCell ref="A135:R135"/>
    <mergeCell ref="A233:R233"/>
    <mergeCell ref="A240:R240"/>
    <mergeCell ref="A172:R172"/>
    <mergeCell ref="A175:R175"/>
    <mergeCell ref="A178:R178"/>
    <mergeCell ref="A181:R181"/>
    <mergeCell ref="A186:R186"/>
    <mergeCell ref="A227:R227"/>
    <mergeCell ref="A229:R229"/>
    <mergeCell ref="A144:R144"/>
    <mergeCell ref="A50:R50"/>
    <mergeCell ref="A53:R53"/>
    <mergeCell ref="A55:R55"/>
    <mergeCell ref="A57:R57"/>
    <mergeCell ref="A69:R69"/>
    <mergeCell ref="A73:R73"/>
    <mergeCell ref="A41:R41"/>
    <mergeCell ref="A44:R44"/>
    <mergeCell ref="A46:R46"/>
    <mergeCell ref="A105:R105"/>
    <mergeCell ref="A115:R115"/>
    <mergeCell ref="A119:R119"/>
    <mergeCell ref="A1064:R1064"/>
    <mergeCell ref="A1073:R1073"/>
    <mergeCell ref="A1076:R1076"/>
    <mergeCell ref="A1087:R1087"/>
    <mergeCell ref="A1089:R1089"/>
    <mergeCell ref="B8:B9"/>
    <mergeCell ref="L8:O8"/>
    <mergeCell ref="A8:A9"/>
    <mergeCell ref="C8:C9"/>
    <mergeCell ref="D8:G8"/>
    <mergeCell ref="H8:K8"/>
    <mergeCell ref="A12:R12"/>
    <mergeCell ref="A20:R20"/>
    <mergeCell ref="A25:R25"/>
    <mergeCell ref="A28:R28"/>
    <mergeCell ref="A31:R31"/>
    <mergeCell ref="A34:R34"/>
    <mergeCell ref="A96:R96"/>
    <mergeCell ref="A77:R77"/>
    <mergeCell ref="A81:R81"/>
    <mergeCell ref="A85:R85"/>
    <mergeCell ref="A87:R87"/>
    <mergeCell ref="A92:R92"/>
    <mergeCell ref="A94:R94"/>
    <mergeCell ref="A880:R880"/>
    <mergeCell ref="A887:R887"/>
    <mergeCell ref="A896:R896"/>
    <mergeCell ref="A1059:R1059"/>
    <mergeCell ref="A914:R914"/>
    <mergeCell ref="A927:R927"/>
    <mergeCell ref="A942:R942"/>
    <mergeCell ref="A957:R957"/>
    <mergeCell ref="A972:R972"/>
    <mergeCell ref="A982:R982"/>
    <mergeCell ref="A992:R992"/>
    <mergeCell ref="A1017:R1017"/>
    <mergeCell ref="A1042:R1042"/>
    <mergeCell ref="A1044:R1044"/>
    <mergeCell ref="A1051:R1051"/>
    <mergeCell ref="A790:R790"/>
    <mergeCell ref="A803:R803"/>
    <mergeCell ref="A816:R816"/>
    <mergeCell ref="A1405:R1405"/>
    <mergeCell ref="A1335:R1335"/>
    <mergeCell ref="A1342:R1342"/>
    <mergeCell ref="A1347:R1347"/>
    <mergeCell ref="A1350:R1350"/>
    <mergeCell ref="A1353:R1353"/>
    <mergeCell ref="A1361:R1361"/>
    <mergeCell ref="A1304:R1304"/>
    <mergeCell ref="A1317:R1317"/>
    <mergeCell ref="A1321:R1321"/>
    <mergeCell ref="A1322:R1322"/>
    <mergeCell ref="A1325:R1325"/>
    <mergeCell ref="A905:R905"/>
    <mergeCell ref="A823:R823"/>
    <mergeCell ref="A836:R836"/>
    <mergeCell ref="A843:R843"/>
    <mergeCell ref="A850:R850"/>
    <mergeCell ref="A855:R855"/>
    <mergeCell ref="A864:R864"/>
    <mergeCell ref="A866:R866"/>
    <mergeCell ref="A873:R873"/>
    <mergeCell ref="A1407:R1407"/>
    <mergeCell ref="A1411:R1411"/>
    <mergeCell ref="A1413:R1413"/>
    <mergeCell ref="A1419:R1419"/>
    <mergeCell ref="A1380:R1380"/>
    <mergeCell ref="A1381:R1381"/>
    <mergeCell ref="A1383:R1383"/>
    <mergeCell ref="A1385:R1385"/>
    <mergeCell ref="A1393:R1393"/>
    <mergeCell ref="A1401:R1401"/>
    <mergeCell ref="A1199:R1199"/>
    <mergeCell ref="A1205:R1205"/>
    <mergeCell ref="A1211:R1211"/>
    <mergeCell ref="A1215:R1215"/>
    <mergeCell ref="A1328:R1328"/>
    <mergeCell ref="A1231:R1231"/>
    <mergeCell ref="A1238:R1238"/>
    <mergeCell ref="A1251:R1251"/>
    <mergeCell ref="A1261:R1261"/>
    <mergeCell ref="A1276:R1276"/>
    <mergeCell ref="A1291:R1291"/>
    <mergeCell ref="A1519:R1519"/>
    <mergeCell ref="A1483:R1483"/>
    <mergeCell ref="A1487:R1487"/>
    <mergeCell ref="A1490:R1490"/>
    <mergeCell ref="A1494:R1494"/>
    <mergeCell ref="A1500:R1500"/>
    <mergeCell ref="A1505:R1505"/>
    <mergeCell ref="A1143:R1143"/>
    <mergeCell ref="A1096:R1096"/>
    <mergeCell ref="A1103:R1103"/>
    <mergeCell ref="A1512:R1512"/>
    <mergeCell ref="A1108:R1108"/>
    <mergeCell ref="A1113:R1113"/>
    <mergeCell ref="A1126:R1126"/>
    <mergeCell ref="A1131:R1131"/>
    <mergeCell ref="A1136:R1136"/>
    <mergeCell ref="A1216:R1216"/>
    <mergeCell ref="A1150:R1150"/>
    <mergeCell ref="A1169:R1169"/>
    <mergeCell ref="A1176:R1176"/>
    <mergeCell ref="A1183:R1183"/>
    <mergeCell ref="A1187:R1187"/>
    <mergeCell ref="A1191:R1191"/>
    <mergeCell ref="A1195:R1195"/>
    <mergeCell ref="A2006:R2006"/>
    <mergeCell ref="A2014:R2014"/>
    <mergeCell ref="A1934:R1934"/>
    <mergeCell ref="A1942:R1942"/>
    <mergeCell ref="A1950:R1950"/>
    <mergeCell ref="A1958:R1958"/>
    <mergeCell ref="A1966:R1966"/>
    <mergeCell ref="A1974:R1974"/>
    <mergeCell ref="A1426:R1426"/>
    <mergeCell ref="A1445:R1445"/>
    <mergeCell ref="A1464:R1464"/>
    <mergeCell ref="A1982:R1982"/>
    <mergeCell ref="A1888:R1888"/>
    <mergeCell ref="A1896:R1896"/>
    <mergeCell ref="A1904:R1904"/>
    <mergeCell ref="A1911:R1911"/>
    <mergeCell ref="A1918:R1918"/>
    <mergeCell ref="A1926:R1926"/>
    <mergeCell ref="A1840:R1840"/>
    <mergeCell ref="A1848:R1848"/>
    <mergeCell ref="A1856:R1856"/>
    <mergeCell ref="A1864:R1864"/>
    <mergeCell ref="A1872:R1872"/>
    <mergeCell ref="A1515:R1515"/>
    <mergeCell ref="A1880:R1880"/>
    <mergeCell ref="A1792:R1792"/>
    <mergeCell ref="A1800:R1800"/>
    <mergeCell ref="A1808:R1808"/>
    <mergeCell ref="A1816:R1816"/>
    <mergeCell ref="A1824:R1824"/>
    <mergeCell ref="A1832:R1832"/>
    <mergeCell ref="A1990:R1990"/>
    <mergeCell ref="A1998:R1998"/>
    <mergeCell ref="A1632:R1632"/>
    <mergeCell ref="A1640:R1640"/>
    <mergeCell ref="A1648:R1648"/>
    <mergeCell ref="A1656:R1656"/>
    <mergeCell ref="A1664:R1664"/>
    <mergeCell ref="A1672:R1672"/>
    <mergeCell ref="A1680:R1680"/>
    <mergeCell ref="A1784:R1784"/>
    <mergeCell ref="A1696:R1696"/>
    <mergeCell ref="A1704:R1704"/>
    <mergeCell ref="A1712:R1712"/>
    <mergeCell ref="A1720:R1720"/>
    <mergeCell ref="A1728:R1728"/>
    <mergeCell ref="A1736:R1736"/>
    <mergeCell ref="A1744:R1744"/>
    <mergeCell ref="A1752:R1752"/>
    <mergeCell ref="A1760:R1760"/>
    <mergeCell ref="A1768:R1768"/>
    <mergeCell ref="A1776:R1776"/>
    <mergeCell ref="A2281:R2281"/>
    <mergeCell ref="A2237:R2237"/>
    <mergeCell ref="A2239:R2239"/>
    <mergeCell ref="A2255:R2255"/>
    <mergeCell ref="A2258:R2258"/>
    <mergeCell ref="A2264:R2264"/>
    <mergeCell ref="A2266:R2266"/>
    <mergeCell ref="A2268:R2268"/>
    <mergeCell ref="A2270:R2270"/>
    <mergeCell ref="A2271:R2271"/>
    <mergeCell ref="A2277:R2277"/>
    <mergeCell ref="A2280:R2280"/>
    <mergeCell ref="A2234:R2234"/>
    <mergeCell ref="A2180:R2180"/>
    <mergeCell ref="A2188:R2188"/>
    <mergeCell ref="A2193:R2193"/>
    <mergeCell ref="A2202:R2202"/>
    <mergeCell ref="A2211:R2211"/>
    <mergeCell ref="A2216:R2216"/>
    <mergeCell ref="A2218:R2218"/>
    <mergeCell ref="A2222:R2222"/>
    <mergeCell ref="A2226:R2226"/>
    <mergeCell ref="A2231:R2231"/>
    <mergeCell ref="A2233:R2233"/>
    <mergeCell ref="A2170:R2170"/>
    <mergeCell ref="A2112:R2112"/>
    <mergeCell ref="A2128:R2128"/>
    <mergeCell ref="A2131:R2131"/>
    <mergeCell ref="A2133:R2133"/>
    <mergeCell ref="A2137:R2137"/>
    <mergeCell ref="A2138:R2138"/>
    <mergeCell ref="A2142:R2142"/>
    <mergeCell ref="A2145:R2145"/>
    <mergeCell ref="A2151:R2151"/>
    <mergeCell ref="A2162:R2162"/>
    <mergeCell ref="A2166:R2166"/>
    <mergeCell ref="B6:O7"/>
    <mergeCell ref="A2109:R2109"/>
    <mergeCell ref="A2027:R2027"/>
    <mergeCell ref="A2028:R2028"/>
    <mergeCell ref="A2032:R2032"/>
    <mergeCell ref="A2036:R2036"/>
    <mergeCell ref="A2055:R2055"/>
    <mergeCell ref="A2067:R2067"/>
    <mergeCell ref="A2078:R2078"/>
    <mergeCell ref="A2105:R2105"/>
    <mergeCell ref="A1592:R1592"/>
    <mergeCell ref="A1528:R1528"/>
    <mergeCell ref="A1536:R1536"/>
    <mergeCell ref="A1544:R1544"/>
    <mergeCell ref="A1552:R1552"/>
    <mergeCell ref="A1560:R1560"/>
    <mergeCell ref="A1568:R1568"/>
    <mergeCell ref="A1576:R1576"/>
    <mergeCell ref="A1584:R1584"/>
    <mergeCell ref="A1688:R1688"/>
    <mergeCell ref="A1600:R1600"/>
    <mergeCell ref="A1608:R1608"/>
    <mergeCell ref="A1616:R1616"/>
    <mergeCell ref="A1624:R1624"/>
  </mergeCells>
  <phoneticPr fontId="0" type="noConversion"/>
  <pageMargins left="0.35" right="3.937007874015748E-2" top="0.39370078740157483" bottom="0.39370078740157483" header="0.51181102362204722" footer="0.51181102362204722"/>
  <pageSetup paperSize="9" scale="7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4"/>
  <sheetViews>
    <sheetView workbookViewId="0">
      <selection activeCell="H13" sqref="H13"/>
    </sheetView>
  </sheetViews>
  <sheetFormatPr defaultRowHeight="12.75"/>
  <cols>
    <col min="1" max="1" width="7.7109375" customWidth="1"/>
    <col min="2" max="2" width="36.42578125" customWidth="1"/>
    <col min="3" max="10" width="12.140625" customWidth="1"/>
    <col min="11" max="14" width="9.5703125" customWidth="1"/>
  </cols>
  <sheetData>
    <row r="1" spans="1:14" s="3" customFormat="1">
      <c r="A1" s="1"/>
      <c r="B1" s="10"/>
      <c r="C1" s="2"/>
      <c r="D1" s="21" t="s">
        <v>0</v>
      </c>
      <c r="E1" s="11"/>
      <c r="F1" s="12"/>
      <c r="G1" s="12"/>
      <c r="H1" s="12"/>
      <c r="I1" s="12"/>
    </row>
    <row r="2" spans="1:14" s="3" customFormat="1" ht="12">
      <c r="A2" s="1"/>
      <c r="B2" s="10"/>
      <c r="C2" s="2"/>
      <c r="D2" s="1"/>
      <c r="E2" s="11"/>
      <c r="F2" s="12"/>
      <c r="G2" s="12"/>
      <c r="H2" s="12"/>
      <c r="I2" s="12"/>
    </row>
    <row r="3" spans="1:14" s="3" customFormat="1" ht="12">
      <c r="A3" s="1"/>
      <c r="B3" s="10"/>
      <c r="C3" s="2"/>
      <c r="D3" s="1"/>
      <c r="E3" s="11"/>
      <c r="F3" s="12"/>
      <c r="G3" s="12"/>
      <c r="H3" s="12"/>
      <c r="I3" s="12"/>
    </row>
    <row r="4" spans="1:14" s="3" customFormat="1" ht="12">
      <c r="A4" s="1" t="s">
        <v>8</v>
      </c>
      <c r="B4" s="10"/>
      <c r="C4" s="1"/>
      <c r="D4" s="11"/>
      <c r="E4" s="12"/>
      <c r="F4" s="12"/>
      <c r="H4" s="12"/>
      <c r="I4" s="12"/>
    </row>
    <row r="5" spans="1:14" s="3" customFormat="1" ht="12">
      <c r="A5" s="1"/>
      <c r="B5" s="13"/>
      <c r="C5" s="14" t="s">
        <v>1</v>
      </c>
      <c r="D5" s="15"/>
      <c r="E5" s="16"/>
      <c r="F5" s="17"/>
      <c r="H5" s="18"/>
      <c r="I5" s="18"/>
    </row>
    <row r="6" spans="1:14" s="3" customFormat="1" ht="12">
      <c r="A6" s="1"/>
      <c r="B6" s="10"/>
      <c r="C6" s="1"/>
      <c r="D6" s="11"/>
      <c r="E6" s="12"/>
      <c r="F6" s="12"/>
      <c r="H6" s="12"/>
      <c r="I6" s="12"/>
    </row>
    <row r="7" spans="1:14" s="3" customFormat="1" ht="12">
      <c r="A7" s="1"/>
      <c r="B7" s="13"/>
      <c r="C7" s="14" t="s">
        <v>12</v>
      </c>
      <c r="D7" s="15"/>
      <c r="E7" s="16"/>
      <c r="F7" s="17"/>
      <c r="H7" s="18"/>
      <c r="I7" s="18"/>
    </row>
    <row r="8" spans="1:14" s="3" customFormat="1" ht="12">
      <c r="A8" s="19"/>
      <c r="B8" s="20"/>
      <c r="C8" s="2"/>
      <c r="D8" s="1"/>
      <c r="E8" s="11"/>
      <c r="F8" s="12"/>
      <c r="G8" s="12"/>
      <c r="H8" s="12"/>
      <c r="I8" s="12"/>
    </row>
    <row r="10" spans="1:14" ht="19.5" customHeight="1">
      <c r="A10" s="448" t="s">
        <v>14</v>
      </c>
      <c r="B10" s="448" t="s">
        <v>15</v>
      </c>
      <c r="C10" s="446" t="s">
        <v>5</v>
      </c>
      <c r="D10" s="433"/>
      <c r="E10" s="433"/>
      <c r="F10" s="433"/>
      <c r="G10" s="446" t="s">
        <v>7</v>
      </c>
      <c r="H10" s="433"/>
      <c r="I10" s="433"/>
      <c r="J10" s="433"/>
      <c r="K10" s="433" t="s">
        <v>6</v>
      </c>
      <c r="L10" s="433"/>
      <c r="M10" s="433"/>
      <c r="N10" s="433"/>
    </row>
    <row r="11" spans="1:14" ht="36">
      <c r="A11" s="448"/>
      <c r="B11" s="448"/>
      <c r="C11" s="32" t="s">
        <v>2</v>
      </c>
      <c r="D11" s="33" t="s">
        <v>3</v>
      </c>
      <c r="E11" s="31" t="s">
        <v>17</v>
      </c>
      <c r="F11" s="25" t="s">
        <v>4</v>
      </c>
      <c r="G11" s="32" t="s">
        <v>2</v>
      </c>
      <c r="H11" s="33" t="s">
        <v>3</v>
      </c>
      <c r="I11" s="31" t="s">
        <v>17</v>
      </c>
      <c r="J11" s="25" t="s">
        <v>4</v>
      </c>
      <c r="K11" s="32" t="s">
        <v>2</v>
      </c>
      <c r="L11" s="33" t="s">
        <v>3</v>
      </c>
      <c r="M11" s="31" t="s">
        <v>17</v>
      </c>
      <c r="N11" s="25" t="s">
        <v>16</v>
      </c>
    </row>
    <row r="12" spans="1:14">
      <c r="A12" s="32">
        <v>1</v>
      </c>
      <c r="B12" s="32">
        <v>2</v>
      </c>
      <c r="C12" s="32">
        <v>3</v>
      </c>
      <c r="D12" s="32">
        <v>4</v>
      </c>
      <c r="E12" s="32">
        <v>5</v>
      </c>
      <c r="F12" s="32">
        <v>6</v>
      </c>
      <c r="G12" s="32">
        <v>7</v>
      </c>
      <c r="H12" s="32">
        <v>8</v>
      </c>
      <c r="I12" s="32">
        <v>9</v>
      </c>
      <c r="J12" s="32">
        <v>10</v>
      </c>
      <c r="K12" s="32">
        <v>11</v>
      </c>
      <c r="L12" s="32">
        <v>12</v>
      </c>
      <c r="M12" s="32">
        <v>13</v>
      </c>
      <c r="N12" s="32">
        <v>14</v>
      </c>
    </row>
    <row r="13" spans="1:14" ht="25.5">
      <c r="A13" s="24">
        <v>1</v>
      </c>
      <c r="B13" s="34" t="str">
        <f ca="1">TRIM(INDEX('Индексы по расценкам'!A$1:A$44,MATCH(A13,'Индексы по расценкам'!R$1:R$44,0)-1))</f>
        <v>Раздел 1. Разработка грунта внутри здания</v>
      </c>
      <c r="C13" s="35">
        <f ca="1">SUMIF('Индексы по расценкам'!$R$12:$R$37,$A13,'Индексы по расценкам'!D$12:D$37)</f>
        <v>48857.38</v>
      </c>
      <c r="D13" s="35">
        <f ca="1">SUMIF('Индексы по расценкам'!$R$12:$R$37,$A13,'Индексы по расценкам'!E$12:E$37)</f>
        <v>37507.68</v>
      </c>
      <c r="E13" s="35">
        <f ca="1">SUMIF('Индексы по расценкам'!$R$12:$R$37,$A13,'Индексы по расценкам'!F$12:F$37)</f>
        <v>65.039999999999992</v>
      </c>
      <c r="F13" s="35">
        <f ca="1">SUMIF('Индексы по расценкам'!$R$12:$R$37,$A13,'Индексы по расценкам'!G$12:G$37)</f>
        <v>11284.66</v>
      </c>
      <c r="G13" s="35">
        <f ca="1">SUMIF('Индексы по расценкам'!$R$12:$R$37,$A13,'Индексы по расценкам'!H$12:H$37)</f>
        <v>541238.65999999992</v>
      </c>
      <c r="H13" s="35">
        <f ca="1">SUMIF('Индексы по расценкам'!$R$12:$R$37,$A13,'Индексы по расценкам'!I$12:I$37)</f>
        <v>489491.43</v>
      </c>
      <c r="I13" s="35">
        <f ca="1">SUMIF('Индексы по расценкам'!$R$12:$R$37,$A13,'Индексы по расценкам'!J$12:J$37)</f>
        <v>329.01</v>
      </c>
      <c r="J13" s="35">
        <f ca="1">SUMIF('Индексы по расценкам'!$R$12:$R$37,$A13,'Индексы по расценкам'!K$12:K$37)</f>
        <v>51418.22</v>
      </c>
      <c r="K13" s="36">
        <f t="shared" ref="K13:K22" ca="1" si="0">IF(G13&lt;&gt;0,G13/C13,"-")</f>
        <v>11.077930498933835</v>
      </c>
      <c r="L13" s="36">
        <f t="shared" ref="L13:L22" ca="1" si="1">IF(H13&lt;&gt;0,H13/D13,"-")</f>
        <v>13.050432071511754</v>
      </c>
      <c r="M13" s="36">
        <f t="shared" ref="M13:M22" ca="1" si="2">IF(I13&lt;&gt;0,I13/E13,"-")</f>
        <v>5.0585793357933584</v>
      </c>
      <c r="N13" s="36">
        <f t="shared" ref="N13:N22" ca="1" si="3">IF(J13&lt;&gt;0,J13/F13,"-")</f>
        <v>4.5564704652156118</v>
      </c>
    </row>
    <row r="14" spans="1:14" ht="38.25">
      <c r="A14" s="24">
        <f>A13+1</f>
        <v>2</v>
      </c>
      <c r="B14" s="34" t="str">
        <f ca="1">TRIM(INDEX('Индексы по расценкам'!A$1:A$44,MATCH(A14,'Индексы по расценкам'!R$1:R$44,0)-1))</f>
        <v>Раздел 2. Разработка грунта при подводке, смене или усилении фундаментов</v>
      </c>
      <c r="C14" s="35">
        <f ca="1">SUMIF('Индексы по расценкам'!$R$12:$R$37,$A14,'Индексы по расценкам'!D$12:D$37)</f>
        <v>22243.35</v>
      </c>
      <c r="D14" s="35">
        <f ca="1">SUMIF('Индексы по расценкам'!$R$12:$R$37,$A14,'Индексы по расценкам'!E$12:E$37)</f>
        <v>18752.61</v>
      </c>
      <c r="E14" s="35">
        <f ca="1">SUMIF('Индексы по расценкам'!$R$12:$R$37,$A14,'Индексы по расценкам'!F$12:F$37)</f>
        <v>4.2</v>
      </c>
      <c r="F14" s="35">
        <f ca="1">SUMIF('Индексы по расценкам'!$R$12:$R$37,$A14,'Индексы по расценкам'!G$12:G$37)</f>
        <v>3486.54</v>
      </c>
      <c r="G14" s="35">
        <f ca="1">SUMIF('Индексы по расценкам'!$R$12:$R$37,$A14,'Индексы по расценкам'!H$12:H$37)</f>
        <v>260469.55</v>
      </c>
      <c r="H14" s="35">
        <f ca="1">SUMIF('Индексы по расценкам'!$R$12:$R$37,$A14,'Индексы по расценкам'!I$12:I$37)</f>
        <v>244719.01</v>
      </c>
      <c r="I14" s="35">
        <f ca="1">SUMIF('Индексы по расценкам'!$R$12:$R$37,$A14,'Индексы по расценкам'!J$12:J$37)</f>
        <v>21.24</v>
      </c>
      <c r="J14" s="35">
        <f ca="1">SUMIF('Индексы по расценкам'!$R$12:$R$37,$A14,'Индексы по расценкам'!K$12:K$37)</f>
        <v>15729.3</v>
      </c>
      <c r="K14" s="36">
        <f t="shared" ca="1" si="0"/>
        <v>11.709996470855334</v>
      </c>
      <c r="L14" s="36">
        <f t="shared" ca="1" si="1"/>
        <v>13.04986399226561</v>
      </c>
      <c r="M14" s="36">
        <f t="shared" ca="1" si="2"/>
        <v>5.0571428571428569</v>
      </c>
      <c r="N14" s="36">
        <f t="shared" ca="1" si="3"/>
        <v>4.5114354058751651</v>
      </c>
    </row>
    <row r="15" spans="1:14" ht="25.5">
      <c r="A15" s="24">
        <f t="shared" ref="A15:A20" si="4">A14+1</f>
        <v>3</v>
      </c>
      <c r="B15" s="34" t="str">
        <f ca="1">TRIM(INDEX('Индексы по расценкам'!A$1:A$44,MATCH(A15,'Индексы по расценкам'!R$1:R$44,0)-1))</f>
        <v>Раздел 3. Изменение уровня пола в здании</v>
      </c>
      <c r="C15" s="35">
        <f ca="1">SUMIF('Индексы по расценкам'!$R$12:$R$37,$A15,'Индексы по расценкам'!D$12:D$37)</f>
        <v>10681.39</v>
      </c>
      <c r="D15" s="35">
        <f ca="1">SUMIF('Индексы по расценкам'!$R$12:$R$37,$A15,'Индексы по расценкам'!E$12:E$37)</f>
        <v>10186.76</v>
      </c>
      <c r="E15" s="35">
        <f ca="1">SUMIF('Индексы по расценкам'!$R$12:$R$37,$A15,'Индексы по расценкам'!F$12:F$37)</f>
        <v>4.2</v>
      </c>
      <c r="F15" s="35">
        <f ca="1">SUMIF('Индексы по расценкам'!$R$12:$R$37,$A15,'Индексы по расценкам'!G$12:G$37)</f>
        <v>490.42999999999995</v>
      </c>
      <c r="G15" s="35">
        <f ca="1">SUMIF('Индексы по расценкам'!$R$12:$R$37,$A15,'Индексы по расценкам'!H$12:H$37)</f>
        <v>135288.54999999999</v>
      </c>
      <c r="H15" s="35">
        <f ca="1">SUMIF('Индексы по расценкам'!$R$12:$R$37,$A15,'Индексы по расценкам'!I$12:I$37)</f>
        <v>132941.59</v>
      </c>
      <c r="I15" s="35">
        <f ca="1">SUMIF('Индексы по расценкам'!$R$12:$R$37,$A15,'Индексы по расценкам'!J$12:J$37)</f>
        <v>21.22</v>
      </c>
      <c r="J15" s="35">
        <f ca="1">SUMIF('Индексы по расценкам'!$R$12:$R$37,$A15,'Индексы по расценкам'!K$12:K$37)</f>
        <v>2325.7399999999998</v>
      </c>
      <c r="K15" s="36">
        <f t="shared" ca="1" si="0"/>
        <v>12.665818774522791</v>
      </c>
      <c r="L15" s="36">
        <f t="shared" ca="1" si="1"/>
        <v>13.050429184549355</v>
      </c>
      <c r="M15" s="36">
        <f t="shared" ca="1" si="2"/>
        <v>5.0523809523809522</v>
      </c>
      <c r="N15" s="36">
        <f t="shared" ca="1" si="3"/>
        <v>4.7422465999225167</v>
      </c>
    </row>
    <row r="16" spans="1:14" ht="25.5">
      <c r="A16" s="24">
        <f t="shared" si="4"/>
        <v>4</v>
      </c>
      <c r="B16" s="34" t="str">
        <f ca="1">TRIM(INDEX('Индексы по расценкам'!A$1:A$44,MATCH(A16,'Индексы по расценкам'!R$1:R$44,0)-1))</f>
        <v>Раздел 4. Рытье ям для установки стоек и столбов</v>
      </c>
      <c r="C16" s="35">
        <f ca="1">SUMIF('Индексы по расценкам'!$R$12:$R$37,$A16,'Индексы по расценкам'!D$12:D$37)</f>
        <v>7668.2099999999991</v>
      </c>
      <c r="D16" s="35">
        <f ca="1">SUMIF('Индексы по расценкам'!$R$12:$R$37,$A16,'Индексы по расценкам'!E$12:E$37)</f>
        <v>7668.2099999999991</v>
      </c>
      <c r="E16" s="35">
        <f ca="1">SUMIF('Индексы по расценкам'!$R$12:$R$37,$A16,'Индексы по расценкам'!F$12:F$37)</f>
        <v>0</v>
      </c>
      <c r="F16" s="35">
        <f ca="1">SUMIF('Индексы по расценкам'!$R$12:$R$37,$A16,'Индексы по расценкам'!G$12:G$37)</f>
        <v>0</v>
      </c>
      <c r="G16" s="35">
        <f ca="1">SUMIF('Индексы по расценкам'!$R$12:$R$37,$A16,'Индексы по расценкам'!H$12:H$37)</f>
        <v>100069.72</v>
      </c>
      <c r="H16" s="35">
        <f ca="1">SUMIF('Индексы по расценкам'!$R$12:$R$37,$A16,'Индексы по расценкам'!I$12:I$37)</f>
        <v>100069.72</v>
      </c>
      <c r="I16" s="35">
        <f ca="1">SUMIF('Индексы по расценкам'!$R$12:$R$37,$A16,'Индексы по расценкам'!J$12:J$37)</f>
        <v>0</v>
      </c>
      <c r="J16" s="35">
        <f ca="1">SUMIF('Индексы по расценкам'!$R$12:$R$37,$A16,'Индексы по расценкам'!K$12:K$37)</f>
        <v>0</v>
      </c>
      <c r="K16" s="36">
        <f t="shared" ca="1" si="0"/>
        <v>13.049945163212799</v>
      </c>
      <c r="L16" s="36">
        <f t="shared" ca="1" si="1"/>
        <v>13.049945163212799</v>
      </c>
      <c r="M16" s="36" t="str">
        <f t="shared" ca="1" si="2"/>
        <v>-</v>
      </c>
      <c r="N16" s="36" t="str">
        <f t="shared" ca="1" si="3"/>
        <v>-</v>
      </c>
    </row>
    <row r="17" spans="1:14" ht="38.25">
      <c r="A17" s="24">
        <f t="shared" si="4"/>
        <v>5</v>
      </c>
      <c r="B17" s="34" t="str">
        <f ca="1">TRIM(INDEX('Индексы по расценкам'!A$1:A$44,MATCH(A17,'Индексы по расценкам'!R$1:R$44,0)-1))</f>
        <v>Раздел 5. Механизированная разработка грунта в стесненных условиях</v>
      </c>
      <c r="C17" s="35">
        <f ca="1">SUMIF('Индексы по расценкам'!$R$12:$R$37,$A17,'Индексы по расценкам'!D$12:D$37)</f>
        <v>5160.87</v>
      </c>
      <c r="D17" s="35">
        <f ca="1">SUMIF('Индексы по расценкам'!$R$12:$R$37,$A17,'Индексы по расценкам'!E$12:E$37)</f>
        <v>3213.24</v>
      </c>
      <c r="E17" s="35">
        <f ca="1">SUMIF('Индексы по расценкам'!$R$12:$R$37,$A17,'Индексы по расценкам'!F$12:F$37)</f>
        <v>1947.63</v>
      </c>
      <c r="F17" s="35">
        <f ca="1">SUMIF('Индексы по расценкам'!$R$12:$R$37,$A17,'Индексы по расценкам'!G$12:G$37)</f>
        <v>0</v>
      </c>
      <c r="G17" s="35">
        <f ca="1">SUMIF('Индексы по расценкам'!$R$12:$R$37,$A17,'Индексы по расценкам'!H$12:H$37)</f>
        <v>53141.37</v>
      </c>
      <c r="H17" s="35">
        <f ca="1">SUMIF('Индексы по расценкам'!$R$12:$R$37,$A17,'Индексы по расценкам'!I$12:I$37)</f>
        <v>41931.919999999998</v>
      </c>
      <c r="I17" s="35">
        <f ca="1">SUMIF('Индексы по расценкам'!$R$12:$R$37,$A17,'Индексы по расценкам'!J$12:J$37)</f>
        <v>11209.449999999999</v>
      </c>
      <c r="J17" s="35">
        <f ca="1">SUMIF('Индексы по расценкам'!$R$12:$R$37,$A17,'Индексы по расценкам'!K$12:K$37)</f>
        <v>0</v>
      </c>
      <c r="K17" s="36">
        <f t="shared" ca="1" si="0"/>
        <v>10.296978997727129</v>
      </c>
      <c r="L17" s="36">
        <f t="shared" ca="1" si="1"/>
        <v>13.049731734946658</v>
      </c>
      <c r="M17" s="36">
        <f t="shared" ca="1" si="2"/>
        <v>5.7554309596791988</v>
      </c>
      <c r="N17" s="36" t="str">
        <f t="shared" ca="1" si="3"/>
        <v>-</v>
      </c>
    </row>
    <row r="18" spans="1:14" ht="25.5">
      <c r="A18" s="24">
        <f t="shared" si="4"/>
        <v>6</v>
      </c>
      <c r="B18" s="34" t="str">
        <f ca="1">TRIM(INDEX('Индексы по расценкам'!A$1:A$44,MATCH(A18,'Индексы по расценкам'!R$1:R$44,0)-1))</f>
        <v>Раздел 6. Погрузка грунта вручную в автомобили-самосвалы с выгрузкой</v>
      </c>
      <c r="C18" s="35">
        <f ca="1">SUMIF('Индексы по расценкам'!$R$12:$R$37,$A18,'Индексы по расценкам'!D$12:D$37)</f>
        <v>6219.86</v>
      </c>
      <c r="D18" s="35">
        <f ca="1">SUMIF('Индексы по расценкам'!$R$12:$R$37,$A18,'Индексы по расценкам'!E$12:E$37)</f>
        <v>725.42</v>
      </c>
      <c r="E18" s="35">
        <f ca="1">SUMIF('Индексы по расценкам'!$R$12:$R$37,$A18,'Индексы по расценкам'!F$12:F$37)</f>
        <v>5494.44</v>
      </c>
      <c r="F18" s="35">
        <f ca="1">SUMIF('Индексы по расценкам'!$R$12:$R$37,$A18,'Индексы по расценкам'!G$12:G$37)</f>
        <v>0</v>
      </c>
      <c r="G18" s="35">
        <f ca="1">SUMIF('Индексы по расценкам'!$R$12:$R$37,$A18,'Индексы по расценкам'!H$12:H$37)</f>
        <v>37421.760000000002</v>
      </c>
      <c r="H18" s="35">
        <f ca="1">SUMIF('Индексы по расценкам'!$R$12:$R$37,$A18,'Индексы по расценкам'!I$12:I$37)</f>
        <v>9466.98</v>
      </c>
      <c r="I18" s="35">
        <f ca="1">SUMIF('Индексы по расценкам'!$R$12:$R$37,$A18,'Индексы по расценкам'!J$12:J$37)</f>
        <v>27954.78</v>
      </c>
      <c r="J18" s="35">
        <f ca="1">SUMIF('Индексы по расценкам'!$R$12:$R$37,$A18,'Индексы по расценкам'!K$12:K$37)</f>
        <v>0</v>
      </c>
      <c r="K18" s="36">
        <f t="shared" ca="1" si="0"/>
        <v>6.0164955481313092</v>
      </c>
      <c r="L18" s="36">
        <f t="shared" ca="1" si="1"/>
        <v>13.050343249427918</v>
      </c>
      <c r="M18" s="36">
        <f t="shared" ca="1" si="2"/>
        <v>5.0878306069408348</v>
      </c>
      <c r="N18" s="36" t="str">
        <f t="shared" ca="1" si="3"/>
        <v>-</v>
      </c>
    </row>
    <row r="19" spans="1:14">
      <c r="A19" s="24">
        <f t="shared" si="4"/>
        <v>7</v>
      </c>
      <c r="B19" s="34" t="e">
        <f ca="1">TRIM(INDEX('Индексы по расценкам'!A$1:A$44,MATCH(A19,'Индексы по расценкам'!R$1:R$44,0)-1))</f>
        <v>#N/A</v>
      </c>
      <c r="C19" s="35">
        <f ca="1">SUMIF('Индексы по расценкам'!$R$12:$R$37,$A19,'Индексы по расценкам'!D$12:D$37)</f>
        <v>0</v>
      </c>
      <c r="D19" s="35">
        <f ca="1">SUMIF('Индексы по расценкам'!$R$12:$R$37,$A19,'Индексы по расценкам'!E$12:E$37)</f>
        <v>0</v>
      </c>
      <c r="E19" s="35">
        <f ca="1">SUMIF('Индексы по расценкам'!$R$12:$R$37,$A19,'Индексы по расценкам'!F$12:F$37)</f>
        <v>0</v>
      </c>
      <c r="F19" s="35">
        <f ca="1">SUMIF('Индексы по расценкам'!$R$12:$R$37,$A19,'Индексы по расценкам'!G$12:G$37)</f>
        <v>0</v>
      </c>
      <c r="G19" s="35">
        <f ca="1">SUMIF('Индексы по расценкам'!$R$12:$R$37,$A19,'Индексы по расценкам'!H$12:H$37)</f>
        <v>0</v>
      </c>
      <c r="H19" s="35">
        <f ca="1">SUMIF('Индексы по расценкам'!$R$12:$R$37,$A19,'Индексы по расценкам'!I$12:I$37)</f>
        <v>0</v>
      </c>
      <c r="I19" s="35">
        <f ca="1">SUMIF('Индексы по расценкам'!$R$12:$R$37,$A19,'Индексы по расценкам'!J$12:J$37)</f>
        <v>0</v>
      </c>
      <c r="J19" s="35">
        <f ca="1">SUMIF('Индексы по расценкам'!$R$12:$R$37,$A19,'Индексы по расценкам'!K$12:K$37)</f>
        <v>0</v>
      </c>
      <c r="K19" s="36" t="str">
        <f t="shared" ca="1" si="0"/>
        <v>-</v>
      </c>
      <c r="L19" s="36" t="str">
        <f t="shared" ca="1" si="1"/>
        <v>-</v>
      </c>
      <c r="M19" s="36" t="str">
        <f t="shared" ca="1" si="2"/>
        <v>-</v>
      </c>
      <c r="N19" s="36" t="str">
        <f t="shared" ca="1" si="3"/>
        <v>-</v>
      </c>
    </row>
    <row r="20" spans="1:14">
      <c r="A20" s="24">
        <f t="shared" si="4"/>
        <v>8</v>
      </c>
      <c r="B20" s="34" t="e">
        <f ca="1">TRIM(INDEX('Индексы по расценкам'!A$1:A$44,MATCH(A20,'Индексы по расценкам'!R$1:R$44,0)-1))</f>
        <v>#N/A</v>
      </c>
      <c r="C20" s="35">
        <f ca="1">SUMIF('Индексы по расценкам'!$R$12:$R$37,$A20,'Индексы по расценкам'!D$12:D$37)</f>
        <v>0</v>
      </c>
      <c r="D20" s="35">
        <f ca="1">SUMIF('Индексы по расценкам'!$R$12:$R$37,$A20,'Индексы по расценкам'!E$12:E$37)</f>
        <v>0</v>
      </c>
      <c r="E20" s="35">
        <f ca="1">SUMIF('Индексы по расценкам'!$R$12:$R$37,$A20,'Индексы по расценкам'!F$12:F$37)</f>
        <v>0</v>
      </c>
      <c r="F20" s="35">
        <f ca="1">SUMIF('Индексы по расценкам'!$R$12:$R$37,$A20,'Индексы по расценкам'!G$12:G$37)</f>
        <v>0</v>
      </c>
      <c r="G20" s="35">
        <f ca="1">SUMIF('Индексы по расценкам'!$R$12:$R$37,$A20,'Индексы по расценкам'!H$12:H$37)</f>
        <v>0</v>
      </c>
      <c r="H20" s="35">
        <f ca="1">SUMIF('Индексы по расценкам'!$R$12:$R$37,$A20,'Индексы по расценкам'!I$12:I$37)</f>
        <v>0</v>
      </c>
      <c r="I20" s="35">
        <f ca="1">SUMIF('Индексы по расценкам'!$R$12:$R$37,$A20,'Индексы по расценкам'!J$12:J$37)</f>
        <v>0</v>
      </c>
      <c r="J20" s="35">
        <f ca="1">SUMIF('Индексы по расценкам'!$R$12:$R$37,$A20,'Индексы по расценкам'!K$12:K$37)</f>
        <v>0</v>
      </c>
      <c r="K20" s="36" t="str">
        <f t="shared" ca="1" si="0"/>
        <v>-</v>
      </c>
      <c r="L20" s="36" t="str">
        <f t="shared" ca="1" si="1"/>
        <v>-</v>
      </c>
      <c r="M20" s="36" t="str">
        <f t="shared" ca="1" si="2"/>
        <v>-</v>
      </c>
      <c r="N20" s="36" t="str">
        <f t="shared" ca="1" si="3"/>
        <v>-</v>
      </c>
    </row>
    <row r="21" spans="1:14">
      <c r="A21" s="24">
        <f>A20+1</f>
        <v>9</v>
      </c>
      <c r="B21" s="34" t="e">
        <f ca="1">TRIM(INDEX('Индексы по расценкам'!A$1:A$44,MATCH(A21,'Индексы по расценкам'!R$1:R$44,0)-1))</f>
        <v>#N/A</v>
      </c>
      <c r="C21" s="35">
        <f ca="1">SUMIF('Индексы по расценкам'!$R$12:$R$37,$A21,'Индексы по расценкам'!D$12:D$37)</f>
        <v>0</v>
      </c>
      <c r="D21" s="35">
        <f ca="1">SUMIF('Индексы по расценкам'!$R$12:$R$37,$A21,'Индексы по расценкам'!E$12:E$37)</f>
        <v>0</v>
      </c>
      <c r="E21" s="35">
        <f ca="1">SUMIF('Индексы по расценкам'!$R$12:$R$37,$A21,'Индексы по расценкам'!F$12:F$37)</f>
        <v>0</v>
      </c>
      <c r="F21" s="35">
        <f ca="1">SUMIF('Индексы по расценкам'!$R$12:$R$37,$A21,'Индексы по расценкам'!G$12:G$37)</f>
        <v>0</v>
      </c>
      <c r="G21" s="35">
        <f ca="1">SUMIF('Индексы по расценкам'!$R$12:$R$37,$A21,'Индексы по расценкам'!H$12:H$37)</f>
        <v>0</v>
      </c>
      <c r="H21" s="35">
        <f ca="1">SUMIF('Индексы по расценкам'!$R$12:$R$37,$A21,'Индексы по расценкам'!I$12:I$37)</f>
        <v>0</v>
      </c>
      <c r="I21" s="35">
        <f ca="1">SUMIF('Индексы по расценкам'!$R$12:$R$37,$A21,'Индексы по расценкам'!J$12:J$37)</f>
        <v>0</v>
      </c>
      <c r="J21" s="35">
        <f ca="1">SUMIF('Индексы по расценкам'!$R$12:$R$37,$A21,'Индексы по расценкам'!K$12:K$37)</f>
        <v>0</v>
      </c>
      <c r="K21" s="36" t="str">
        <f t="shared" ca="1" si="0"/>
        <v>-</v>
      </c>
      <c r="L21" s="36" t="str">
        <f t="shared" ca="1" si="1"/>
        <v>-</v>
      </c>
      <c r="M21" s="36" t="str">
        <f t="shared" ca="1" si="2"/>
        <v>-</v>
      </c>
      <c r="N21" s="36" t="str">
        <f t="shared" ca="1" si="3"/>
        <v>-</v>
      </c>
    </row>
    <row r="22" spans="1:14">
      <c r="A22" s="24">
        <f>A21+1</f>
        <v>10</v>
      </c>
      <c r="B22" s="34" t="e">
        <f ca="1">TRIM(INDEX('Индексы по расценкам'!A$1:A$44,MATCH(A22,'Индексы по расценкам'!R$1:R$44,0)-1))</f>
        <v>#N/A</v>
      </c>
      <c r="C22" s="35">
        <f ca="1">SUMIF('Индексы по расценкам'!$R$12:$R$37,$A22,'Индексы по расценкам'!D$12:D$37)</f>
        <v>0</v>
      </c>
      <c r="D22" s="35">
        <f ca="1">SUMIF('Индексы по расценкам'!$R$12:$R$37,$A22,'Индексы по расценкам'!E$12:E$37)</f>
        <v>0</v>
      </c>
      <c r="E22" s="35">
        <f ca="1">SUMIF('Индексы по расценкам'!$R$12:$R$37,$A22,'Индексы по расценкам'!F$12:F$37)</f>
        <v>0</v>
      </c>
      <c r="F22" s="35">
        <f ca="1">SUMIF('Индексы по расценкам'!$R$12:$R$37,$A22,'Индексы по расценкам'!G$12:G$37)</f>
        <v>0</v>
      </c>
      <c r="G22" s="35">
        <f ca="1">SUMIF('Индексы по расценкам'!$R$12:$R$37,$A22,'Индексы по расценкам'!H$12:H$37)</f>
        <v>0</v>
      </c>
      <c r="H22" s="35">
        <f ca="1">SUMIF('Индексы по расценкам'!$R$12:$R$37,$A22,'Индексы по расценкам'!I$12:I$37)</f>
        <v>0</v>
      </c>
      <c r="I22" s="35">
        <f ca="1">SUMIF('Индексы по расценкам'!$R$12:$R$37,$A22,'Индексы по расценкам'!J$12:J$37)</f>
        <v>0</v>
      </c>
      <c r="J22" s="35">
        <f ca="1">SUMIF('Индексы по расценкам'!$R$12:$R$37,$A22,'Индексы по расценкам'!K$12:K$37)</f>
        <v>0</v>
      </c>
      <c r="K22" s="36" t="str">
        <f t="shared" ca="1" si="0"/>
        <v>-</v>
      </c>
      <c r="L22" s="36" t="str">
        <f t="shared" ca="1" si="1"/>
        <v>-</v>
      </c>
      <c r="M22" s="36" t="str">
        <f t="shared" ca="1" si="2"/>
        <v>-</v>
      </c>
      <c r="N22" s="36" t="str">
        <f t="shared" ca="1" si="3"/>
        <v>-</v>
      </c>
    </row>
    <row r="23" spans="1:14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</row>
    <row r="24" spans="1:14">
      <c r="A24" s="447" t="s">
        <v>13</v>
      </c>
      <c r="B24" s="447"/>
      <c r="C24" s="38">
        <v>100831.06</v>
      </c>
      <c r="D24" s="38">
        <v>78053.919999999998</v>
      </c>
      <c r="E24" s="38">
        <v>7515.51</v>
      </c>
      <c r="F24" s="38">
        <v>15261.63</v>
      </c>
      <c r="G24" s="39">
        <v>1127629.6100000001</v>
      </c>
      <c r="H24" s="39">
        <v>1018620.65</v>
      </c>
      <c r="I24" s="39">
        <v>39535.699999999997</v>
      </c>
      <c r="J24" s="39">
        <v>69473.259999999995</v>
      </c>
      <c r="K24" s="40">
        <f>IF(G24&lt;&gt;0,G24/C24,"-")</f>
        <v>11.183355704085628</v>
      </c>
      <c r="L24" s="40">
        <f>IF(H24&lt;&gt;0,H24/D24,"-")</f>
        <v>13.050217721288053</v>
      </c>
      <c r="M24" s="40">
        <f>IF(I24&lt;&gt;0,I24/E24,"-")</f>
        <v>5.2605478537052042</v>
      </c>
      <c r="N24" s="40">
        <f>IF(J24&lt;&gt;0,J24/F24,"-")</f>
        <v>4.5521520309429597</v>
      </c>
    </row>
  </sheetData>
  <autoFilter ref="A12:N18"/>
  <mergeCells count="6">
    <mergeCell ref="C10:F10"/>
    <mergeCell ref="G10:J10"/>
    <mergeCell ref="K10:N10"/>
    <mergeCell ref="A24:B24"/>
    <mergeCell ref="A10:A11"/>
    <mergeCell ref="B10:B11"/>
  </mergeCells>
  <phoneticPr fontId="9" type="noConversion"/>
  <pageMargins left="0.2" right="0.27" top="0.47" bottom="0.52" header="0.2" footer="0.24"/>
  <pageSetup paperSize="9" scale="80" orientation="landscape" r:id="rId1"/>
  <headerFooter alignWithMargins="0">
    <oddFooter>Страница &amp;P из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B2"/>
  <sheetViews>
    <sheetView workbookViewId="0">
      <selection activeCell="B2" sqref="B2"/>
    </sheetView>
  </sheetViews>
  <sheetFormatPr defaultRowHeight="12.75"/>
  <sheetData>
    <row r="2" spans="1:2">
      <c r="A2" t="s">
        <v>18</v>
      </c>
      <c r="B2">
        <v>13.05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Индексы по расценкам</vt:lpstr>
      <vt:lpstr>Индексы по разделам и смете</vt:lpstr>
      <vt:lpstr>Лист1</vt:lpstr>
    </vt:vector>
  </TitlesOfParts>
  <Company>Центр "Гранд"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дубова_вн</dc:creator>
  <dc:description>Шаблон для создания пользовательских документов с готовыми примечаниями и описанием переменных (констант) и их источника</dc:description>
  <cp:lastModifiedBy>терешкина_тю</cp:lastModifiedBy>
  <cp:lastPrinted>2017-06-01T11:27:48Z</cp:lastPrinted>
  <dcterms:created xsi:type="dcterms:W3CDTF">2004-03-31T11:09:00Z</dcterms:created>
  <dcterms:modified xsi:type="dcterms:W3CDTF">2017-06-15T05:56:00Z</dcterms:modified>
</cp:coreProperties>
</file>